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0" windowWidth="19440" windowHeight="11115" firstSheet="5" activeTab="5"/>
  </bookViews>
  <sheets>
    <sheet name="ЗП" sheetId="2" state="hidden" r:id="rId1"/>
    <sheet name="ГОРЛЕС" sheetId="1" state="hidden" r:id="rId2"/>
    <sheet name="прил 1" sheetId="3" state="hidden" r:id="rId3"/>
    <sheet name="прил 2" sheetId="4" state="hidden" r:id="rId4"/>
    <sheet name="прил 3" sheetId="5" state="hidden" r:id="rId5"/>
    <sheet name="прил " sheetId="6" r:id="rId6"/>
  </sheets>
  <definedNames>
    <definedName name="_xlnm.Print_Area" localSheetId="1">ГОРЛЕС!$A$1:$O$26</definedName>
    <definedName name="_xlnm.Print_Area" localSheetId="5">'прил '!$A$1:$N$36</definedName>
    <definedName name="_xlnm.Print_Area" localSheetId="2">'прил 1'!$A$1:$Q$60</definedName>
    <definedName name="_xlnm.Print_Area" localSheetId="3">'прил 2'!$A$1:$D$85</definedName>
    <definedName name="_xlnm.Print_Area" localSheetId="4">'прил 3'!$A$1:$I$81</definedName>
  </definedNames>
  <calcPr calcId="145621" iterate="1"/>
</workbook>
</file>

<file path=xl/calcChain.xml><?xml version="1.0" encoding="utf-8"?>
<calcChain xmlns="http://schemas.openxmlformats.org/spreadsheetml/2006/main">
  <c r="J18" i="6" l="1"/>
  <c r="F18" i="6"/>
  <c r="F16" i="6"/>
  <c r="G16" i="6" s="1"/>
  <c r="F15" i="6"/>
  <c r="G15" i="6" s="1"/>
  <c r="F14" i="6"/>
  <c r="G14" i="6" s="1"/>
  <c r="E13" i="6"/>
  <c r="E18" i="6"/>
  <c r="C18" i="6"/>
  <c r="C13" i="6"/>
  <c r="F12" i="6"/>
  <c r="F11" i="6"/>
  <c r="D50" i="3"/>
  <c r="D45" i="3"/>
  <c r="D46" i="3"/>
  <c r="I71" i="5" l="1"/>
  <c r="I70" i="5"/>
  <c r="J16" i="6"/>
  <c r="D60" i="5" l="1"/>
  <c r="F60" i="5"/>
  <c r="M30" i="5"/>
  <c r="G59" i="5"/>
  <c r="G60" i="5"/>
  <c r="G47" i="5"/>
  <c r="G48" i="5"/>
  <c r="G35" i="5"/>
  <c r="G36" i="5"/>
  <c r="G37" i="5"/>
  <c r="G23" i="5"/>
  <c r="G24" i="5"/>
  <c r="G25" i="5"/>
  <c r="G26" i="5"/>
  <c r="G11" i="5"/>
  <c r="G12" i="5"/>
  <c r="G13" i="5"/>
  <c r="G14" i="5"/>
  <c r="G33" i="5"/>
  <c r="G45" i="5"/>
  <c r="G80" i="5"/>
  <c r="Q37" i="3"/>
  <c r="Q38" i="3"/>
  <c r="Q39" i="3"/>
  <c r="Q40" i="3"/>
  <c r="Q41" i="3"/>
  <c r="Q42" i="3"/>
  <c r="Q43" i="3"/>
  <c r="Q44" i="3"/>
  <c r="Q45" i="3"/>
  <c r="Q46" i="3"/>
  <c r="Q47" i="3"/>
  <c r="O37" i="3"/>
  <c r="O38" i="3"/>
  <c r="O39" i="3"/>
  <c r="O40" i="3"/>
  <c r="O41" i="3"/>
  <c r="O42" i="3"/>
  <c r="O43" i="3"/>
  <c r="O44" i="3"/>
  <c r="O45" i="3"/>
  <c r="O46" i="3"/>
  <c r="O47" i="3"/>
  <c r="O24" i="3"/>
  <c r="O25" i="3"/>
  <c r="O26" i="3"/>
  <c r="Q26" i="3" s="1"/>
  <c r="O27" i="3"/>
  <c r="Q27" i="3" s="1"/>
  <c r="O28" i="3"/>
  <c r="O29" i="3"/>
  <c r="O31" i="3"/>
  <c r="O32" i="3"/>
  <c r="Q32" i="3" s="1"/>
  <c r="O33" i="3"/>
  <c r="Q33" i="3" s="1"/>
  <c r="O34" i="3"/>
  <c r="O35" i="3"/>
  <c r="O36" i="3"/>
  <c r="Q36" i="3" s="1"/>
  <c r="O30" i="3"/>
  <c r="Q30" i="3"/>
  <c r="N22" i="3"/>
  <c r="H22" i="3"/>
  <c r="F22" i="3"/>
  <c r="Q21" i="3"/>
  <c r="Q24" i="3"/>
  <c r="Q25" i="3"/>
  <c r="Q28" i="3"/>
  <c r="Q29" i="3"/>
  <c r="Q31" i="3"/>
  <c r="Q34" i="3"/>
  <c r="Q35" i="3"/>
  <c r="O21" i="3"/>
  <c r="H18" i="3"/>
  <c r="Q13" i="3"/>
  <c r="Q14" i="3"/>
  <c r="Q15" i="3"/>
  <c r="Q16" i="3"/>
  <c r="Q17" i="3"/>
  <c r="Q19" i="3"/>
  <c r="Q20" i="3"/>
  <c r="O13" i="3"/>
  <c r="O14" i="3"/>
  <c r="O15" i="3"/>
  <c r="O16" i="3"/>
  <c r="O17" i="3"/>
  <c r="O18" i="3"/>
  <c r="Q18" i="3" s="1"/>
  <c r="O19" i="3"/>
  <c r="O20" i="3"/>
  <c r="D12" i="3"/>
  <c r="D11" i="3" s="1"/>
  <c r="D47" i="3" s="1"/>
  <c r="D34" i="3"/>
  <c r="D31" i="3"/>
  <c r="D44" i="3"/>
  <c r="E21" i="3"/>
  <c r="F73" i="5"/>
  <c r="D73" i="5"/>
  <c r="D74" i="5"/>
  <c r="G61" i="5"/>
  <c r="G62" i="5"/>
  <c r="G38" i="5"/>
  <c r="F11" i="5"/>
  <c r="D11" i="5"/>
  <c r="N16" i="3"/>
  <c r="M16" i="3"/>
  <c r="J16" i="3"/>
  <c r="H16" i="3"/>
  <c r="F16" i="3"/>
  <c r="F12" i="3"/>
  <c r="F21" i="3" s="1"/>
  <c r="I16" i="3"/>
  <c r="G16" i="3"/>
  <c r="E16" i="3"/>
  <c r="F48" i="5"/>
  <c r="F47" i="5"/>
  <c r="E57" i="5"/>
  <c r="E45" i="5"/>
  <c r="E69" i="5"/>
  <c r="E33" i="5"/>
  <c r="F45" i="3"/>
  <c r="H36" i="3"/>
  <c r="N20" i="3"/>
  <c r="M20" i="3"/>
  <c r="J20" i="3"/>
  <c r="I20" i="3"/>
  <c r="H20" i="3"/>
  <c r="G20" i="3"/>
  <c r="N19" i="3"/>
  <c r="M19" i="3"/>
  <c r="E19" i="3"/>
  <c r="J19" i="3"/>
  <c r="I19" i="3"/>
  <c r="H19" i="3"/>
  <c r="G19" i="3"/>
  <c r="D19" i="3"/>
  <c r="F19" i="3"/>
  <c r="G73" i="5" l="1"/>
  <c r="G72" i="5"/>
  <c r="G81" i="5"/>
  <c r="I81" i="5" s="1"/>
  <c r="F17" i="6"/>
  <c r="C84" i="4" l="1"/>
  <c r="F27" i="5"/>
  <c r="G27" i="5"/>
  <c r="I27" i="5" s="1"/>
  <c r="F16" i="5"/>
  <c r="H72" i="5"/>
  <c r="H73" i="5"/>
  <c r="H74" i="5"/>
  <c r="H76" i="5"/>
  <c r="H78" i="5"/>
  <c r="H79" i="5"/>
  <c r="H81" i="5"/>
  <c r="H71" i="5"/>
  <c r="F78" i="5"/>
  <c r="F79" i="5"/>
  <c r="F80" i="5"/>
  <c r="F81" i="5"/>
  <c r="E72" i="5"/>
  <c r="E73" i="5"/>
  <c r="E78" i="5"/>
  <c r="E79" i="5"/>
  <c r="E80" i="5"/>
  <c r="E71" i="5"/>
  <c r="D75" i="5"/>
  <c r="D76" i="5"/>
  <c r="D77" i="5"/>
  <c r="D78" i="5"/>
  <c r="D79" i="5"/>
  <c r="D80" i="5"/>
  <c r="D81" i="5"/>
  <c r="F55" i="5"/>
  <c r="F67" i="5"/>
  <c r="F43" i="5"/>
  <c r="F31" i="5"/>
  <c r="H17" i="5"/>
  <c r="F21" i="5"/>
  <c r="F19" i="5"/>
  <c r="F18" i="5"/>
  <c r="F17" i="5"/>
  <c r="F14" i="5"/>
  <c r="F13" i="5"/>
  <c r="E12" i="3"/>
  <c r="D21" i="3"/>
  <c r="N30" i="3"/>
  <c r="M30" i="3"/>
  <c r="N26" i="3"/>
  <c r="M26" i="3"/>
  <c r="L30" i="3"/>
  <c r="K30" i="3"/>
  <c r="L26" i="3"/>
  <c r="K26" i="3"/>
  <c r="J30" i="3"/>
  <c r="I30" i="3"/>
  <c r="J26" i="3"/>
  <c r="I26" i="3"/>
  <c r="H30" i="3"/>
  <c r="G30" i="3"/>
  <c r="G26" i="3"/>
  <c r="H26" i="3"/>
  <c r="G27" i="3"/>
  <c r="H27" i="3"/>
  <c r="G28" i="3"/>
  <c r="H28" i="3"/>
  <c r="G29" i="3"/>
  <c r="H29" i="3"/>
  <c r="F30" i="3"/>
  <c r="E30" i="3"/>
  <c r="F26" i="3"/>
  <c r="E26" i="3"/>
  <c r="C52" i="4"/>
  <c r="E20" i="2"/>
  <c r="O6" i="1"/>
  <c r="O8" i="1"/>
  <c r="O9" i="1"/>
  <c r="O10" i="1"/>
  <c r="N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5" i="1"/>
  <c r="I6" i="1"/>
  <c r="I5" i="1"/>
  <c r="J5" i="1" s="1"/>
  <c r="I24" i="1"/>
  <c r="I23" i="1"/>
  <c r="I16" i="1"/>
  <c r="I15" i="1"/>
  <c r="I14" i="1"/>
  <c r="D20" i="2"/>
  <c r="D22" i="2"/>
  <c r="D16" i="2"/>
  <c r="D15" i="2"/>
  <c r="D14" i="2"/>
  <c r="D12" i="2"/>
  <c r="D7" i="2"/>
  <c r="D3" i="2"/>
  <c r="H75" i="5" l="1"/>
  <c r="P5" i="1"/>
  <c r="L7" i="1" s="1"/>
  <c r="D38" i="3" l="1"/>
  <c r="D36" i="3"/>
  <c r="E64" i="5" l="1"/>
  <c r="E52" i="5"/>
  <c r="E76" i="5" l="1"/>
  <c r="J13" i="1"/>
  <c r="L13" i="1" s="1"/>
  <c r="J14" i="1"/>
  <c r="J21" i="1"/>
  <c r="L21" i="1" s="1"/>
  <c r="M10" i="1"/>
  <c r="J6" i="1"/>
  <c r="D8" i="2"/>
  <c r="D17" i="2"/>
  <c r="D30" i="2"/>
  <c r="J9" i="1"/>
  <c r="J16" i="1"/>
  <c r="D31" i="2" l="1"/>
  <c r="D34" i="2" s="1"/>
  <c r="D36" i="2" s="1"/>
  <c r="C34" i="4"/>
  <c r="G16" i="5" l="1"/>
  <c r="F28" i="5"/>
  <c r="H13" i="6"/>
  <c r="F14" i="2"/>
  <c r="F13" i="2"/>
  <c r="E21" i="2" s="1"/>
  <c r="G53" i="3"/>
  <c r="G28" i="5" l="1"/>
  <c r="I28" i="5" s="1"/>
  <c r="F40" i="5"/>
  <c r="F52" i="5"/>
  <c r="G52" i="5" s="1"/>
  <c r="I52" i="5" s="1"/>
  <c r="F64" i="5"/>
  <c r="G64" i="5" s="1"/>
  <c r="I64" i="5" s="1"/>
  <c r="I16" i="5"/>
  <c r="F76" i="5" l="1"/>
  <c r="E22" i="2"/>
  <c r="F25" i="2" s="1"/>
  <c r="G40" i="5"/>
  <c r="G76" i="5" s="1"/>
  <c r="D37" i="2"/>
  <c r="F20" i="2" l="1"/>
  <c r="F21" i="2"/>
  <c r="I40" i="5"/>
  <c r="I76" i="5"/>
  <c r="G42" i="3"/>
  <c r="G38" i="3"/>
  <c r="G39" i="3"/>
  <c r="G37" i="3"/>
  <c r="G33" i="3"/>
  <c r="G32" i="3"/>
  <c r="E42" i="3"/>
  <c r="E38" i="3"/>
  <c r="E39" i="3"/>
  <c r="E37" i="3"/>
  <c r="E33" i="3"/>
  <c r="E32" i="3"/>
  <c r="M27" i="3"/>
  <c r="M28" i="3"/>
  <c r="M29" i="3"/>
  <c r="K27" i="3"/>
  <c r="K28" i="3"/>
  <c r="K29" i="3"/>
  <c r="I27" i="3"/>
  <c r="I28" i="3"/>
  <c r="I29" i="3"/>
  <c r="E27" i="3"/>
  <c r="E28" i="3"/>
  <c r="E29" i="3"/>
  <c r="M14" i="3"/>
  <c r="M15" i="3"/>
  <c r="M17" i="3"/>
  <c r="M13" i="3"/>
  <c r="K14" i="3"/>
  <c r="K15" i="3"/>
  <c r="K17" i="3"/>
  <c r="K13" i="3"/>
  <c r="I14" i="3"/>
  <c r="I15" i="3"/>
  <c r="I17" i="3"/>
  <c r="I13" i="3"/>
  <c r="G14" i="3"/>
  <c r="G15" i="3"/>
  <c r="G17" i="3"/>
  <c r="G13" i="3"/>
  <c r="E14" i="3"/>
  <c r="E15" i="3"/>
  <c r="E17" i="3"/>
  <c r="E13" i="3"/>
  <c r="C12" i="3"/>
  <c r="H18" i="6"/>
  <c r="I53" i="3" l="1"/>
  <c r="K53" i="3"/>
  <c r="M53" i="3"/>
  <c r="C38" i="4"/>
  <c r="D29" i="3"/>
  <c r="M25" i="1"/>
  <c r="M11" i="1"/>
  <c r="J8" i="1"/>
  <c r="L9" i="1"/>
  <c r="J12" i="1"/>
  <c r="C41" i="4"/>
  <c r="J15" i="1"/>
  <c r="J17" i="1"/>
  <c r="J18" i="1"/>
  <c r="J19" i="1"/>
  <c r="J20" i="1"/>
  <c r="J22" i="1"/>
  <c r="J23" i="1"/>
  <c r="K23" i="1" s="1"/>
  <c r="J24" i="1"/>
  <c r="L16" i="1"/>
  <c r="H20" i="5" l="1"/>
  <c r="F41" i="4"/>
  <c r="C62" i="4"/>
  <c r="C81" i="4"/>
  <c r="L11" i="1"/>
  <c r="F15" i="5"/>
  <c r="J11" i="1"/>
  <c r="J10" i="1"/>
  <c r="L10" i="1"/>
  <c r="N29" i="3"/>
  <c r="F29" i="3"/>
  <c r="L29" i="3"/>
  <c r="J29" i="3"/>
  <c r="L5" i="1"/>
  <c r="L20" i="1"/>
  <c r="H10" i="5" l="1"/>
  <c r="H68" i="5"/>
  <c r="F63" i="5"/>
  <c r="F39" i="5"/>
  <c r="F51" i="5"/>
  <c r="F75" i="5" l="1"/>
  <c r="H33" i="5"/>
  <c r="C35" i="4"/>
  <c r="K5" i="1" l="1"/>
  <c r="K7" i="1" l="1"/>
  <c r="N5" i="1"/>
  <c r="O5" i="1" s="1"/>
  <c r="C12" i="4"/>
  <c r="I26" i="1"/>
  <c r="M19" i="6"/>
  <c r="M20" i="6"/>
  <c r="M21" i="6"/>
  <c r="M22" i="6"/>
  <c r="M23" i="6"/>
  <c r="M24" i="6"/>
  <c r="M25" i="6"/>
  <c r="M26" i="6"/>
  <c r="M27" i="6"/>
  <c r="M28" i="6"/>
  <c r="M29" i="6"/>
  <c r="M30" i="6"/>
  <c r="F68" i="5"/>
  <c r="F56" i="5"/>
  <c r="E68" i="5"/>
  <c r="E66" i="5"/>
  <c r="E65" i="5"/>
  <c r="E63" i="5"/>
  <c r="E62" i="5"/>
  <c r="E61" i="5"/>
  <c r="C19" i="4"/>
  <c r="M34" i="3"/>
  <c r="E43" i="3"/>
  <c r="E41" i="3"/>
  <c r="E40" i="3"/>
  <c r="M35" i="3"/>
  <c r="G35" i="3"/>
  <c r="G34" i="3"/>
  <c r="M33" i="3"/>
  <c r="M37" i="3"/>
  <c r="M38" i="3"/>
  <c r="M39" i="3"/>
  <c r="M42" i="3"/>
  <c r="M32" i="3"/>
  <c r="K33" i="3"/>
  <c r="K37" i="3"/>
  <c r="K38" i="3"/>
  <c r="K39" i="3"/>
  <c r="K42" i="3"/>
  <c r="K32" i="3"/>
  <c r="I33" i="3"/>
  <c r="I37" i="3"/>
  <c r="I38" i="3"/>
  <c r="I39" i="3"/>
  <c r="I42" i="3"/>
  <c r="I32" i="3"/>
  <c r="C13" i="4" l="1"/>
  <c r="N7" i="1"/>
  <c r="O7" i="1" s="1"/>
  <c r="E25" i="3"/>
  <c r="G25" i="3"/>
  <c r="I25" i="3"/>
  <c r="K25" i="3"/>
  <c r="M25" i="3"/>
  <c r="G63" i="5"/>
  <c r="I63" i="5" s="1"/>
  <c r="C20" i="4" l="1"/>
  <c r="C18" i="4"/>
  <c r="D33" i="3"/>
  <c r="D35" i="3"/>
  <c r="D37" i="3"/>
  <c r="D39" i="3"/>
  <c r="D40" i="3"/>
  <c r="F40" i="3" s="1"/>
  <c r="P40" i="3" s="1"/>
  <c r="D41" i="3"/>
  <c r="F41" i="3" s="1"/>
  <c r="P41" i="3" s="1"/>
  <c r="D42" i="3"/>
  <c r="D43" i="3"/>
  <c r="F43" i="3" s="1"/>
  <c r="P43" i="3" s="1"/>
  <c r="D32" i="3"/>
  <c r="D27" i="3"/>
  <c r="D28" i="3"/>
  <c r="D30" i="3"/>
  <c r="D26" i="3"/>
  <c r="D14" i="3"/>
  <c r="D15" i="3"/>
  <c r="D16" i="3"/>
  <c r="D17" i="3"/>
  <c r="D18" i="3"/>
  <c r="D20" i="3"/>
  <c r="D13" i="3"/>
  <c r="H15" i="3" l="1"/>
  <c r="F15" i="3"/>
  <c r="N15" i="3"/>
  <c r="L15" i="3"/>
  <c r="H42" i="3"/>
  <c r="F42" i="3"/>
  <c r="H39" i="3"/>
  <c r="F39" i="3"/>
  <c r="F38" i="3"/>
  <c r="H38" i="3"/>
  <c r="H37" i="3"/>
  <c r="F37" i="3"/>
  <c r="H33" i="3"/>
  <c r="F33" i="3"/>
  <c r="H32" i="3"/>
  <c r="F32" i="3"/>
  <c r="H17" i="3"/>
  <c r="N17" i="3"/>
  <c r="L17" i="3"/>
  <c r="F17" i="3"/>
  <c r="N14" i="3"/>
  <c r="H14" i="3"/>
  <c r="L14" i="3"/>
  <c r="F14" i="3"/>
  <c r="H13" i="3"/>
  <c r="L13" i="3"/>
  <c r="N13" i="3"/>
  <c r="F13" i="3"/>
  <c r="N28" i="3"/>
  <c r="L28" i="3"/>
  <c r="J28" i="3"/>
  <c r="F28" i="3"/>
  <c r="L27" i="3"/>
  <c r="N27" i="3"/>
  <c r="F27" i="3"/>
  <c r="J27" i="3"/>
  <c r="D25" i="3"/>
  <c r="N39" i="3"/>
  <c r="L39" i="3"/>
  <c r="J39" i="3"/>
  <c r="N35" i="3"/>
  <c r="H35" i="3"/>
  <c r="J13" i="3"/>
  <c r="J17" i="3"/>
  <c r="N32" i="3"/>
  <c r="L32" i="3"/>
  <c r="J32" i="3"/>
  <c r="J14" i="3"/>
  <c r="N37" i="3"/>
  <c r="L37" i="3"/>
  <c r="J37" i="3"/>
  <c r="N33" i="3"/>
  <c r="L33" i="3"/>
  <c r="J33" i="3"/>
  <c r="N42" i="3"/>
  <c r="L42" i="3"/>
  <c r="J42" i="3"/>
  <c r="N38" i="3"/>
  <c r="L38" i="3"/>
  <c r="J38" i="3"/>
  <c r="H34" i="3"/>
  <c r="N34" i="3"/>
  <c r="P15" i="3" l="1"/>
  <c r="J25" i="3"/>
  <c r="H25" i="3"/>
  <c r="F25" i="3"/>
  <c r="N25" i="3"/>
  <c r="L25" i="3"/>
  <c r="P42" i="3"/>
  <c r="P37" i="3"/>
  <c r="P38" i="3"/>
  <c r="P13" i="3"/>
  <c r="P39" i="3"/>
  <c r="P14" i="3"/>
  <c r="N31" i="3"/>
  <c r="M31" i="3"/>
  <c r="N12" i="3"/>
  <c r="N21" i="3" s="1"/>
  <c r="M12" i="3"/>
  <c r="M21" i="3" s="1"/>
  <c r="L31" i="3"/>
  <c r="K31" i="3"/>
  <c r="L12" i="3"/>
  <c r="L21" i="3" s="1"/>
  <c r="K12" i="3"/>
  <c r="K21" i="3" s="1"/>
  <c r="D59" i="5" l="1"/>
  <c r="L11" i="3"/>
  <c r="N44" i="3"/>
  <c r="N24" i="3"/>
  <c r="L44" i="3"/>
  <c r="L45" i="3" s="1"/>
  <c r="K24" i="3"/>
  <c r="M24" i="3"/>
  <c r="N11" i="3"/>
  <c r="M11" i="3"/>
  <c r="K11" i="3"/>
  <c r="L24" i="3"/>
  <c r="N45" i="3" l="1"/>
  <c r="F59" i="5"/>
  <c r="N47" i="3"/>
  <c r="L47" i="3"/>
  <c r="M47" i="3"/>
  <c r="K47" i="3"/>
  <c r="C25" i="3"/>
  <c r="C31" i="3"/>
  <c r="H12" i="3"/>
  <c r="J12" i="3"/>
  <c r="J21" i="3" s="1"/>
  <c r="D22" i="3"/>
  <c r="E31" i="3"/>
  <c r="F31" i="3"/>
  <c r="F44" i="3" s="1"/>
  <c r="G31" i="3"/>
  <c r="H31" i="3"/>
  <c r="I31" i="3"/>
  <c r="J31" i="3"/>
  <c r="C11" i="3"/>
  <c r="E56" i="5"/>
  <c r="G55" i="5"/>
  <c r="I55" i="5" s="1"/>
  <c r="E54" i="5"/>
  <c r="E53" i="5"/>
  <c r="E77" i="5" s="1"/>
  <c r="E51" i="5"/>
  <c r="E75" i="5" s="1"/>
  <c r="E50" i="5"/>
  <c r="E74" i="5" s="1"/>
  <c r="E49" i="5"/>
  <c r="C64" i="4"/>
  <c r="C61" i="4"/>
  <c r="H21" i="3" l="1"/>
  <c r="J22" i="3" s="1"/>
  <c r="O22" i="3" s="1"/>
  <c r="Q22" i="3" s="1"/>
  <c r="O12" i="3"/>
  <c r="Q12" i="3" s="1"/>
  <c r="D23" i="3"/>
  <c r="C24" i="3"/>
  <c r="D35" i="5"/>
  <c r="D23" i="5"/>
  <c r="D71" i="5" s="1"/>
  <c r="D48" i="3"/>
  <c r="I59" i="5"/>
  <c r="N46" i="3"/>
  <c r="L46" i="3"/>
  <c r="F44" i="5"/>
  <c r="G44" i="5" s="1"/>
  <c r="G20" i="5"/>
  <c r="G56" i="5"/>
  <c r="J24" i="3"/>
  <c r="F24" i="3"/>
  <c r="H24" i="3"/>
  <c r="J44" i="3"/>
  <c r="D24" i="3"/>
  <c r="J11" i="3"/>
  <c r="H11" i="3"/>
  <c r="F11" i="3"/>
  <c r="D49" i="3"/>
  <c r="C47" i="3"/>
  <c r="H44" i="3"/>
  <c r="I24" i="3"/>
  <c r="G24" i="3"/>
  <c r="E24" i="3"/>
  <c r="G12" i="3"/>
  <c r="I12" i="3"/>
  <c r="G39" i="5"/>
  <c r="I39" i="5" s="1"/>
  <c r="F32" i="5"/>
  <c r="G43" i="5"/>
  <c r="G51" i="5"/>
  <c r="I51" i="5" s="1"/>
  <c r="C80" i="4"/>
  <c r="D36" i="5" l="1"/>
  <c r="D24" i="5"/>
  <c r="D12" i="5"/>
  <c r="H45" i="3"/>
  <c r="F24" i="5" s="1"/>
  <c r="F72" i="5" s="1"/>
  <c r="F23" i="5"/>
  <c r="F35" i="5"/>
  <c r="I47" i="5" s="1"/>
  <c r="J45" i="3"/>
  <c r="F12" i="5"/>
  <c r="D53" i="3"/>
  <c r="D55" i="3" s="1"/>
  <c r="H47" i="3"/>
  <c r="F47" i="3"/>
  <c r="J47" i="3"/>
  <c r="I43" i="5"/>
  <c r="G32" i="5"/>
  <c r="G68" i="5"/>
  <c r="I21" i="3"/>
  <c r="I11" i="3"/>
  <c r="I47" i="3" s="1"/>
  <c r="G21" i="3"/>
  <c r="G11" i="3"/>
  <c r="G47" i="3" s="1"/>
  <c r="E11" i="3"/>
  <c r="E47" i="3" s="1"/>
  <c r="D72" i="5" l="1"/>
  <c r="D70" i="5" s="1"/>
  <c r="I23" i="5"/>
  <c r="F71" i="5"/>
  <c r="D10" i="5"/>
  <c r="L23" i="3"/>
  <c r="L48" i="3"/>
  <c r="L49" i="3" s="1"/>
  <c r="L53" i="3"/>
  <c r="D58" i="5"/>
  <c r="D16" i="6" s="1"/>
  <c r="N23" i="3"/>
  <c r="N53" i="3"/>
  <c r="N48" i="3"/>
  <c r="N49" i="3" s="1"/>
  <c r="F36" i="5"/>
  <c r="D34" i="5" s="1"/>
  <c r="D14" i="6" s="1"/>
  <c r="I35" i="5"/>
  <c r="F48" i="3"/>
  <c r="F49" i="3" s="1"/>
  <c r="H53" i="3"/>
  <c r="J46" i="3"/>
  <c r="J53" i="3"/>
  <c r="D46" i="5"/>
  <c r="D15" i="6" s="1"/>
  <c r="E52" i="3"/>
  <c r="F53" i="3"/>
  <c r="H48" i="3"/>
  <c r="H49" i="3" s="1"/>
  <c r="F46" i="3"/>
  <c r="J48" i="3"/>
  <c r="J49" i="3" s="1"/>
  <c r="D22" i="5"/>
  <c r="D12" i="6" s="1"/>
  <c r="H46" i="3"/>
  <c r="F23" i="3"/>
  <c r="D11" i="6" l="1"/>
  <c r="G10" i="5"/>
  <c r="G71" i="5"/>
  <c r="L71" i="5" s="1"/>
  <c r="D13" i="6"/>
  <c r="D18" i="6"/>
  <c r="E53" i="3"/>
  <c r="E55" i="3" s="1"/>
  <c r="I11" i="5"/>
  <c r="H23" i="3"/>
  <c r="J23" i="3"/>
  <c r="O23" i="3" s="1"/>
  <c r="Q23" i="3" s="1"/>
  <c r="D61" i="4" l="1"/>
  <c r="D64" i="4"/>
  <c r="L14" i="1" l="1"/>
  <c r="C29" i="4"/>
  <c r="C59" i="4" s="1"/>
  <c r="L18" i="1"/>
  <c r="G67" i="5" l="1"/>
  <c r="I67" i="5" s="1"/>
  <c r="C24" i="4"/>
  <c r="C55" i="4" s="1"/>
  <c r="C46" i="4"/>
  <c r="G15" i="5"/>
  <c r="C78" i="4"/>
  <c r="D59" i="4"/>
  <c r="L8" i="1"/>
  <c r="L6" i="1"/>
  <c r="L15" i="1"/>
  <c r="L17" i="1"/>
  <c r="L19" i="1"/>
  <c r="L12" i="1"/>
  <c r="F32" i="4" s="1"/>
  <c r="F33" i="4" s="1"/>
  <c r="C31" i="4" s="1"/>
  <c r="G75" i="5" l="1"/>
  <c r="I75" i="5" s="1"/>
  <c r="C51" i="4"/>
  <c r="C63" i="4" s="1"/>
  <c r="C82" i="4" s="1"/>
  <c r="G19" i="5"/>
  <c r="F30" i="5"/>
  <c r="F66" i="5"/>
  <c r="G66" i="5" s="1"/>
  <c r="I66" i="5" s="1"/>
  <c r="F54" i="5"/>
  <c r="G54" i="5" s="1"/>
  <c r="I54" i="5" s="1"/>
  <c r="C74" i="4"/>
  <c r="C33" i="4"/>
  <c r="G31" i="5"/>
  <c r="D55" i="4"/>
  <c r="D62" i="4"/>
  <c r="F42" i="5"/>
  <c r="G42" i="5" s="1"/>
  <c r="I42" i="5" s="1"/>
  <c r="G18" i="5"/>
  <c r="C27" i="4"/>
  <c r="C58" i="4" s="1"/>
  <c r="I15" i="5"/>
  <c r="K22" i="1"/>
  <c r="C69" i="4"/>
  <c r="C49" i="4"/>
  <c r="C57" i="4" s="1"/>
  <c r="C76" i="4" s="1"/>
  <c r="I31" i="5" l="1"/>
  <c r="G79" i="5"/>
  <c r="I79" i="5" s="1"/>
  <c r="G30" i="5"/>
  <c r="I30" i="5" s="1"/>
  <c r="C32" i="4"/>
  <c r="D57" i="4"/>
  <c r="C77" i="4"/>
  <c r="D58" i="4"/>
  <c r="I18" i="5"/>
  <c r="D63" i="4"/>
  <c r="F49" i="5"/>
  <c r="F25" i="5"/>
  <c r="F61" i="5"/>
  <c r="F37" i="5"/>
  <c r="F50" i="5"/>
  <c r="G50" i="5" s="1"/>
  <c r="I50" i="5" s="1"/>
  <c r="F62" i="5"/>
  <c r="I62" i="5" s="1"/>
  <c r="F38" i="5"/>
  <c r="I38" i="5" s="1"/>
  <c r="F26" i="5"/>
  <c r="G78" i="5" l="1"/>
  <c r="I78" i="5" s="1"/>
  <c r="F74" i="5"/>
  <c r="I26" i="5"/>
  <c r="I14" i="5"/>
  <c r="G49" i="5"/>
  <c r="I61" i="5"/>
  <c r="I13" i="5"/>
  <c r="I19" i="5"/>
  <c r="G74" i="5" l="1"/>
  <c r="I74" i="5" s="1"/>
  <c r="I73" i="5"/>
  <c r="I25" i="5"/>
  <c r="I37" i="5"/>
  <c r="I49" i="5"/>
  <c r="C36" i="4" l="1"/>
  <c r="C60" i="4" s="1"/>
  <c r="D66" i="4"/>
  <c r="D60" i="4" l="1"/>
  <c r="C70" i="4"/>
  <c r="C79" i="4" s="1"/>
  <c r="F53" i="5"/>
  <c r="H29" i="5"/>
  <c r="F41" i="5"/>
  <c r="F65" i="5"/>
  <c r="H65" i="5"/>
  <c r="H58" i="5" s="1"/>
  <c r="G17" i="5"/>
  <c r="F29" i="5"/>
  <c r="F77" i="5" s="1"/>
  <c r="H53" i="5"/>
  <c r="H41" i="5" l="1"/>
  <c r="H77" i="5"/>
  <c r="G65" i="5"/>
  <c r="G29" i="5"/>
  <c r="G77" i="5" s="1"/>
  <c r="I17" i="5"/>
  <c r="G41" i="5"/>
  <c r="G53" i="5"/>
  <c r="I29" i="5" l="1"/>
  <c r="I53" i="5"/>
  <c r="I41" i="5"/>
  <c r="I65" i="5"/>
  <c r="I77" i="5" l="1"/>
  <c r="C25" i="4" l="1"/>
  <c r="C56" i="4" s="1"/>
  <c r="C75" i="4" s="1"/>
  <c r="J7" i="1" l="1"/>
  <c r="D56" i="4"/>
  <c r="M26" i="1"/>
  <c r="I20" i="5"/>
  <c r="J25" i="1"/>
  <c r="J26" i="1" s="1"/>
  <c r="C71" i="4"/>
  <c r="C83" i="4" s="1"/>
  <c r="C72" i="4" l="1"/>
  <c r="H56" i="5"/>
  <c r="H46" i="5" s="1"/>
  <c r="I15" i="6" s="1"/>
  <c r="O26" i="1"/>
  <c r="H32" i="5"/>
  <c r="I56" i="5" l="1"/>
  <c r="F42" i="4"/>
  <c r="I16" i="6"/>
  <c r="I68" i="5"/>
  <c r="I11" i="6"/>
  <c r="I32" i="5"/>
  <c r="H22" i="5"/>
  <c r="H44" i="5"/>
  <c r="H80" i="5" s="1"/>
  <c r="H70" i="5" l="1"/>
  <c r="I12" i="6"/>
  <c r="I44" i="5"/>
  <c r="H34" i="5"/>
  <c r="I14" i="6" s="1"/>
  <c r="I13" i="6" l="1"/>
  <c r="I18" i="6"/>
  <c r="I80" i="5"/>
  <c r="F23" i="2" l="1"/>
  <c r="L24" i="1"/>
  <c r="K24" i="1" s="1"/>
  <c r="C45" i="4"/>
  <c r="C53" i="4" s="1"/>
  <c r="C65" i="4" s="1"/>
  <c r="D65" i="4" s="1"/>
  <c r="D67" i="4" s="1"/>
  <c r="F33" i="5"/>
  <c r="F45" i="5"/>
  <c r="F57" i="5"/>
  <c r="F69" i="5"/>
  <c r="K26" i="1" l="1"/>
  <c r="N26" i="1" s="1"/>
  <c r="N24" i="1"/>
  <c r="C15" i="4"/>
  <c r="L26" i="1"/>
  <c r="F16" i="4" l="1"/>
  <c r="C67" i="4"/>
  <c r="C85" i="4"/>
  <c r="E10" i="5" l="1"/>
  <c r="E11" i="6" s="1"/>
  <c r="C11" i="6" s="1"/>
  <c r="G21" i="5"/>
  <c r="E34" i="5"/>
  <c r="E14" i="6" s="1"/>
  <c r="E81" i="5" l="1"/>
  <c r="E70" i="5" s="1"/>
  <c r="E22" i="5"/>
  <c r="E12" i="6" s="1"/>
  <c r="C12" i="6" s="1"/>
  <c r="G69" i="5"/>
  <c r="E58" i="5"/>
  <c r="E16" i="6" s="1"/>
  <c r="C16" i="6" s="1"/>
  <c r="K11" i="6"/>
  <c r="I21" i="5"/>
  <c r="G57" i="5"/>
  <c r="E46" i="5"/>
  <c r="E15" i="6" s="1"/>
  <c r="C15" i="6" s="1"/>
  <c r="C14" i="6"/>
  <c r="K18" i="6" l="1"/>
  <c r="K16" i="6"/>
  <c r="I45" i="5"/>
  <c r="K14" i="6"/>
  <c r="I33" i="5"/>
  <c r="I69" i="5"/>
  <c r="I57" i="5"/>
  <c r="C17" i="6"/>
  <c r="K15" i="6"/>
  <c r="K12" i="6"/>
  <c r="K13" i="6" l="1"/>
  <c r="G17" i="6"/>
  <c r="J17" i="6" l="1"/>
  <c r="P17" i="6" s="1"/>
  <c r="F10" i="5" l="1"/>
  <c r="L11" i="6" s="1"/>
  <c r="M11" i="6" s="1"/>
  <c r="I12" i="5"/>
  <c r="F22" i="5"/>
  <c r="L12" i="6" s="1"/>
  <c r="M12" i="6" s="1"/>
  <c r="G22" i="5"/>
  <c r="I22" i="5" s="1"/>
  <c r="I24" i="5" l="1"/>
  <c r="G11" i="6"/>
  <c r="G12" i="6"/>
  <c r="J12" i="6" s="1"/>
  <c r="N12" i="6" s="1"/>
  <c r="F34" i="5"/>
  <c r="L14" i="6" s="1"/>
  <c r="I36" i="5"/>
  <c r="I34" i="5" s="1"/>
  <c r="J11" i="6" l="1"/>
  <c r="P11" i="6" s="1"/>
  <c r="O11" i="6"/>
  <c r="G34" i="5"/>
  <c r="K10" i="5"/>
  <c r="K12" i="5" s="1"/>
  <c r="I10" i="5"/>
  <c r="J14" i="6"/>
  <c r="P12" i="6"/>
  <c r="N11" i="6"/>
  <c r="M14" i="6"/>
  <c r="N14" i="6" l="1"/>
  <c r="P14" i="6"/>
  <c r="F46" i="5"/>
  <c r="I48" i="5"/>
  <c r="I46" i="5" s="1"/>
  <c r="L15" i="6"/>
  <c r="G46" i="5" l="1"/>
  <c r="M15" i="6"/>
  <c r="J15" i="6" l="1"/>
  <c r="J13" i="6" s="1"/>
  <c r="P15" i="6" l="1"/>
  <c r="N15" i="6"/>
  <c r="F58" i="5"/>
  <c r="F13" i="6" s="1"/>
  <c r="I60" i="5"/>
  <c r="I58" i="5" s="1"/>
  <c r="F70" i="5"/>
  <c r="G58" i="5" l="1"/>
  <c r="G70" i="5"/>
  <c r="L16" i="6"/>
  <c r="I72" i="5" l="1"/>
  <c r="G18" i="6"/>
  <c r="P18" i="6" s="1"/>
  <c r="L18" i="6"/>
  <c r="M18" i="6" s="1"/>
  <c r="L13" i="6"/>
  <c r="M16" i="6"/>
  <c r="M13" i="6" s="1"/>
  <c r="G13" i="6"/>
  <c r="N16" i="6"/>
  <c r="N13" i="6" s="1"/>
  <c r="K70" i="5" l="1"/>
  <c r="L72" i="5"/>
  <c r="M72" i="5" s="1"/>
  <c r="P36" i="6"/>
  <c r="P16" i="6"/>
  <c r="P13" i="6"/>
  <c r="N18" i="6" l="1"/>
</calcChain>
</file>

<file path=xl/sharedStrings.xml><?xml version="1.0" encoding="utf-8"?>
<sst xmlns="http://schemas.openxmlformats.org/spreadsheetml/2006/main" count="476" uniqueCount="210">
  <si>
    <t>Код 
муниципальной 
услуги</t>
  </si>
  <si>
    <t>Рз/Пр</t>
  </si>
  <si>
    <t>КОСГУ</t>
  </si>
  <si>
    <t>Суб
КОСГУ</t>
  </si>
  <si>
    <t>Тип
средств</t>
  </si>
  <si>
    <t>в том числе</t>
  </si>
  <si>
    <t>Затраты на содержание имущества</t>
  </si>
  <si>
    <t>Затраты на 
услуги (работы)</t>
  </si>
  <si>
    <t>Прямые</t>
  </si>
  <si>
    <t>Общехозяйственные</t>
  </si>
  <si>
    <t>001</t>
  </si>
  <si>
    <t>08.01</t>
  </si>
  <si>
    <t>01.00.00</t>
  </si>
  <si>
    <t>№ п/п</t>
  </si>
  <si>
    <t xml:space="preserve">Наименование должности/ 
категории
</t>
  </si>
  <si>
    <t>Всего годовой ФОТ</t>
  </si>
  <si>
    <t>Директор</t>
  </si>
  <si>
    <t>Заместитель директора по финансово-экономическим вопросам</t>
  </si>
  <si>
    <t>Заместитель директора</t>
  </si>
  <si>
    <t>Начальник хозяйственного отдела</t>
  </si>
  <si>
    <t>Итого АУП</t>
  </si>
  <si>
    <t>Инженер</t>
  </si>
  <si>
    <t>Архивариус</t>
  </si>
  <si>
    <t>Специалист по охране труда</t>
  </si>
  <si>
    <t>Инженер-механик</t>
  </si>
  <si>
    <t>Специалист по кадрам</t>
  </si>
  <si>
    <t>Мастер леса</t>
  </si>
  <si>
    <t>Лесник</t>
  </si>
  <si>
    <t>Итого специалистов</t>
  </si>
  <si>
    <t>Рабочий зеленого хозяйства</t>
  </si>
  <si>
    <t>Рабочий по комплексному обслуживанию здания</t>
  </si>
  <si>
    <t>Водитель автомобиля</t>
  </si>
  <si>
    <t>Водитель погрузчика</t>
  </si>
  <si>
    <t>Уборщик служебных помещений</t>
  </si>
  <si>
    <t>Слесарь-ремонтник</t>
  </si>
  <si>
    <t>Слесарь-электрик по ремонту электрооборудования</t>
  </si>
  <si>
    <t>Техник</t>
  </si>
  <si>
    <t>Сторож</t>
  </si>
  <si>
    <t>Вахтер</t>
  </si>
  <si>
    <t>Плотник</t>
  </si>
  <si>
    <t>Дворник</t>
  </si>
  <si>
    <t>Итого МОП</t>
  </si>
  <si>
    <t>Всего</t>
  </si>
  <si>
    <t>прямые затраты</t>
  </si>
  <si>
    <t>НЕТ</t>
  </si>
  <si>
    <t>нет</t>
  </si>
  <si>
    <t>да</t>
  </si>
  <si>
    <t>ДА</t>
  </si>
  <si>
    <t>зп</t>
  </si>
  <si>
    <t>начис</t>
  </si>
  <si>
    <t>Субсидия на выполнение муниципального задания по оказанию муниципальной услуги 
"ГОРЛЕС"</t>
  </si>
  <si>
    <t>Приложение 1</t>
  </si>
  <si>
    <t>к Порядку определения нормативных затрат</t>
  </si>
  <si>
    <t>на оказание муниципальной услуги и нормативных затрат</t>
  </si>
  <si>
    <t>на содержание имущества муниципальных учреждений</t>
  </si>
  <si>
    <t>РАСЧЕТ 
нормативных затрат на оплату труда и начисления на оплату труда персонала, 
принимающего непосредственное участие в оказании муниципальной услуги</t>
  </si>
  <si>
    <t>Наименование должности</t>
  </si>
  <si>
    <t>Штатная численность (ед.)</t>
  </si>
  <si>
    <t>Годовой фонд оплаты труда за счет средств бюджета (тыс. руб.)</t>
  </si>
  <si>
    <t>В том числе по муниципальным услугам</t>
  </si>
  <si>
    <t>Затраты на оплату труда (тыс. руб.)</t>
  </si>
  <si>
    <t>Основной персонал (категория персонала, должность), в том числе:</t>
  </si>
  <si>
    <t>1.1.</t>
  </si>
  <si>
    <t>Специалисты</t>
  </si>
  <si>
    <t>Итого оплата труда основного персонала:</t>
  </si>
  <si>
    <t>Начисления на выплаты по оплате труда основного персонала</t>
  </si>
  <si>
    <t>х</t>
  </si>
  <si>
    <t>Итого оплата труда с начислениями</t>
  </si>
  <si>
    <t>Вспомогательный персонал (категория персонала, должность) в том числе:</t>
  </si>
  <si>
    <t>2.1.</t>
  </si>
  <si>
    <t>АУП</t>
  </si>
  <si>
    <t>2.2.</t>
  </si>
  <si>
    <t>Итого оплата труда вспомогательного персонала:</t>
  </si>
  <si>
    <t>Начисления на выплаты по оплате труда вспомогательного персонала</t>
  </si>
  <si>
    <t>Приложение 2</t>
  </si>
  <si>
    <t>Распределение нормативных затрат в соответствии с КОСГУ, исчисленных нормативным и структурным методами в пределах лимитов бюджетных 
ассигнований на планируемый период</t>
  </si>
  <si>
    <t>Наименование статей расходов</t>
  </si>
  <si>
    <t>Лимиты бюджетных ассигнований, тыс. руб.</t>
  </si>
  <si>
    <t>Доля затрат, пропорционально относимых к оплате труда и начислениям основного персонала, %</t>
  </si>
  <si>
    <t>1. Нормативные затраты на оказание муниципальной услуги</t>
  </si>
  <si>
    <t>1.1.Нормативные затраты непосредственно связанные с оказанием муниципальной услуги</t>
  </si>
  <si>
    <t>1.1.1. Нормативные затраты на оплату труда и начисления на выплаты по оплате труда основного персонала</t>
  </si>
  <si>
    <t>Оплата труда</t>
  </si>
  <si>
    <t>Начисления на оплату труда</t>
  </si>
  <si>
    <t>1.1.2.      Нормативные затраты на приобретение материальных запасов</t>
  </si>
  <si>
    <t>Приобретение расходных материалов</t>
  </si>
  <si>
    <t xml:space="preserve">1.1.3.Иные нормативные затраты </t>
  </si>
  <si>
    <t>Прочие выплаты</t>
  </si>
  <si>
    <t>Транспортные услуги</t>
  </si>
  <si>
    <t>Прочие работы, услуги</t>
  </si>
  <si>
    <t>Прочие расходы</t>
  </si>
  <si>
    <t>1.2.Нормативные затраты на общехозяйственные нужды</t>
  </si>
  <si>
    <t>1.2.1. Нормативные затраты на оплату труда и начисления на выплаты по оплате труда работников, которые не принимают непосредственного участия в оказании муниципальной услуги</t>
  </si>
  <si>
    <t>1.2.2.Нормативные затраты на оказание услуг связи</t>
  </si>
  <si>
    <t>Услуги связи</t>
  </si>
  <si>
    <t>1.2.3.Нормативные затраты на приобретение транспортных услуг</t>
  </si>
  <si>
    <t>1.2.4.Нормативные затраты на коммунальные услуги</t>
  </si>
  <si>
    <t>Холодное водоснабжение</t>
  </si>
  <si>
    <t>Горячее водоснабжение</t>
  </si>
  <si>
    <t>Водоотведение</t>
  </si>
  <si>
    <t>Потребление тепловой энергии (50% от общих затрат)</t>
  </si>
  <si>
    <t>Потребление электрической энергии (90% от общих затрат)</t>
  </si>
  <si>
    <t>1.2.5.Нормативные затраты на содержание недвижимого имущества</t>
  </si>
  <si>
    <t>Эксплуатация системы охранной сигнализации и противопожарной безопасности</t>
  </si>
  <si>
    <t>Проведение текущего ремонта объектов недвижимости</t>
  </si>
  <si>
    <t>Аренда недвижимого имущества</t>
  </si>
  <si>
    <t>Содержание прилегающей территории, в соответствии с утвержденными санитарными правилами и нормами</t>
  </si>
  <si>
    <t>Прочие нормативные затраты на содержание недвижимого имущества (расшифровать)</t>
  </si>
  <si>
    <t>1.2.6.Нормативные затраты на содержание особо ценного движимого имущества</t>
  </si>
  <si>
    <t>Техническое обслуживание и текущий ремонт</t>
  </si>
  <si>
    <t>Материальные запасы не связанные с оказанием муниципальной услуги</t>
  </si>
  <si>
    <t>Страхование ОСАГО</t>
  </si>
  <si>
    <t>Прочие затраты (расшифровать)</t>
  </si>
  <si>
    <t>1.2.7.Прочие нормативные затраты на общехозяйственные нужды</t>
  </si>
  <si>
    <t>Аренда имущества</t>
  </si>
  <si>
    <t>Итого затраты на общехозяйственные нужды, в т.ч.</t>
  </si>
  <si>
    <t>Начисления на выплаты по оплате труда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</si>
  <si>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</si>
  <si>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</si>
  <si>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</si>
  <si>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Увеличение стоимости материальных запасов</t>
  </si>
  <si>
    <t>Итого</t>
  </si>
  <si>
    <t>Всего по разделу 1</t>
  </si>
  <si>
    <t>2.Определение нормативных затрат на содержание имущества муниципального учреждения</t>
  </si>
  <si>
    <t>Потребление электрической энергии (10% от общих затрат)</t>
  </si>
  <si>
    <t>Налог на имущество, земельный налог</t>
  </si>
  <si>
    <t>Всего по разделу 2</t>
  </si>
  <si>
    <t>ИТОГО утвержденные лимиты бюджетных ассигнований в разрезе КОСГУ</t>
  </si>
  <si>
    <t>Итого расходов по 1 и 2 разделам</t>
  </si>
  <si>
    <t>Приложение 3</t>
  </si>
  <si>
    <t>Исходные данные и результаты расчетов объемов нормативных затрат  на оказание муниципальных услуг в разрезе КОСГУ</t>
  </si>
  <si>
    <t>№</t>
  </si>
  <si>
    <t>Наименование муниципальной услуги</t>
  </si>
  <si>
    <t>Нормативные затраты на материальные запасы и иные</t>
  </si>
  <si>
    <t>Затраты на общехозяйственные нужды</t>
  </si>
  <si>
    <t>Итого нормативные затраты на оказание муниципальной услуги</t>
  </si>
  <si>
    <t>Сумма финансового обеспечения выполнения муниципального задания</t>
  </si>
  <si>
    <t>7 = сумма граф 4,5,6</t>
  </si>
  <si>
    <t>9 = сумма граф 7,8</t>
  </si>
  <si>
    <t>Итого:</t>
  </si>
  <si>
    <t>Единица измерения показателя объема</t>
  </si>
  <si>
    <t>Нормативные затраты, непосредственно связанные с оказанием муниципальной услуги</t>
  </si>
  <si>
    <t>В том числе</t>
  </si>
  <si>
    <t>Объем муниципальной услуги</t>
  </si>
  <si>
    <t>Нормативные затраты на единицу услуги</t>
  </si>
  <si>
    <t>Нормативные затраты на оплату труда и начисления на выплаты по оплате труда</t>
  </si>
  <si>
    <t>Нормативные затраты непосредственно связанные с оказанием муниципальной услуги</t>
  </si>
  <si>
    <t>Итого нормативные затраты на выполнение муниципальной услуги</t>
  </si>
  <si>
    <t>Тыс. руб.</t>
  </si>
  <si>
    <t>Ед.</t>
  </si>
  <si>
    <t>руб.</t>
  </si>
  <si>
    <t xml:space="preserve"> руб.</t>
  </si>
  <si>
    <t>1а</t>
  </si>
  <si>
    <t>2а</t>
  </si>
  <si>
    <t>2б</t>
  </si>
  <si>
    <t>8=гр.2/гр.5</t>
  </si>
  <si>
    <t>9=гр.3/гр.5</t>
  </si>
  <si>
    <t>10=гр.8+гр.9</t>
  </si>
  <si>
    <t>Итого отчетный финансовый год</t>
  </si>
  <si>
    <t>Услуга №1</t>
  </si>
  <si>
    <t>Услуга №2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</si>
  <si>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</si>
  <si>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</si>
  <si>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</si>
  <si>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</si>
  <si>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t>Рабочие</t>
  </si>
  <si>
    <t>Итого по организации</t>
  </si>
  <si>
    <t>Муниципальная работа 
"Тушение лесных пожаров"</t>
  </si>
  <si>
    <t>Муниципальная работа "Устройство, прочистка и обновление противопожарных минерализованных полос"</t>
  </si>
  <si>
    <t>Муниципальная работа "Снижение природной пожарной опасности лесов путем регулирования породного состава лесных насаждений и проведения санитарно-оздоровительных мероприятий"</t>
  </si>
  <si>
    <t>Муниципальная работа 
"Обеспечение соблюдения лесного законодательства, выявление нарушений и принятие мер в соответствии с законодательством"</t>
  </si>
  <si>
    <t>по МАУ "Городское лесничество"</t>
  </si>
  <si>
    <t>Расходы на содержание имущества</t>
  </si>
  <si>
    <t>Муниципальная работа "Установка и размещение стендов и других знаков и указателей, содержащих информацию о мерах пожарной безопасности в лесах"</t>
  </si>
  <si>
    <t>один из них 30% интенсивность</t>
  </si>
  <si>
    <t>единица</t>
  </si>
  <si>
    <t>гектар</t>
  </si>
  <si>
    <t>километров</t>
  </si>
  <si>
    <t>Итого базовые нормативные затраты на оказание муниципальной услуги</t>
  </si>
  <si>
    <t>Значение отраслевого коэффициента</t>
  </si>
  <si>
    <t>11=гр.4/гр.7</t>
  </si>
  <si>
    <t>Начальник участка</t>
  </si>
  <si>
    <t xml:space="preserve"> </t>
  </si>
  <si>
    <t>Инженер паркового хозяйства</t>
  </si>
  <si>
    <t>КВР</t>
  </si>
  <si>
    <t>Код субсидии</t>
  </si>
  <si>
    <t>070.10.0001</t>
  </si>
  <si>
    <t>070.10.0011</t>
  </si>
  <si>
    <t xml:space="preserve">Муниципальная работа 
"Тушение лесных пожаров" </t>
  </si>
  <si>
    <t xml:space="preserve">  Муниципальная работа "Устройство, прочистка и обновление противопожарных минерализованных полос"</t>
  </si>
  <si>
    <t>Исполнитель:</t>
  </si>
  <si>
    <t>Муниципальная работа "Обеспечение сохранности и целостности историко-архитектурного-комплекса, исторической среды и ландшафтов"</t>
  </si>
  <si>
    <t>прямые</t>
  </si>
  <si>
    <t>общехоз</t>
  </si>
  <si>
    <t>Нормативные затраты на оплату труда и начисления на выплату по оплате труда (прямые)</t>
  </si>
  <si>
    <t>квадратный метр</t>
  </si>
  <si>
    <t>Снижение природной пожарной опасности лесов путем регулирования породного состава лесных насаждений и проведения санитарно-оздоровительных мероприятий"</t>
  </si>
  <si>
    <t>Установка и размещение стендов и других знаков и указателей, содержащих информацию о мерах пожарной безопасности в лесах"</t>
  </si>
  <si>
    <t>Устройство, прочистка и обновление противопожарных минерализованных полос"</t>
  </si>
  <si>
    <t>-</t>
  </si>
  <si>
    <t>Муниципальная работа "Предупреждение возникновения и распространения лесных пожаров, включая территорию ООПТ, в т.ч.:</t>
  </si>
  <si>
    <t>вывоз мусора</t>
  </si>
  <si>
    <t>тел. (34675) 7-58-79</t>
  </si>
  <si>
    <t>Заместитель директора Харьковский В.Н.</t>
  </si>
  <si>
    <t>Приложение</t>
  </si>
  <si>
    <t>к Приказу ДМСиГ</t>
  </si>
  <si>
    <t>212/214</t>
  </si>
  <si>
    <t xml:space="preserve">Исходные данные и результаты расчетов объема нормативных затрат на единицу оказания муниципальной работы и нормативных затрат на содержание имущества на 2024
</t>
  </si>
  <si>
    <t>по МАУ "Городское лесничество" на 2024 год</t>
  </si>
  <si>
    <t>№ 165-Пр от 28.12.2023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</si>
</sst>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#,##0.000"/>
    <numFmt numFmtId="167" formatCode="#,##0.000000"/>
    <numFmt numFmtId="168" formatCode="#,##0.0000000"/>
    <numFmt numFmtId="169" formatCode="#,##0.00000"/>
    <numFmt numFmtId="170" formatCode="#,##0.0000"/>
    <numFmt numFmtId="171" formatCode="#,##0.00_р_."/>
  </numFmts>
  <fonts count="4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4">
    <xf numFmtId="0" fontId="0" fillId="0" borderId="0" xfId="0"/>
    <xf numFmtId="0" fontId="1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2" borderId="0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/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22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" fontId="4" fillId="2" borderId="2" xfId="0" applyNumberFormat="1" applyFont="1" applyFill="1" applyBorder="1" applyAlignment="1"/>
    <xf numFmtId="4" fontId="0" fillId="0" borderId="0" xfId="0" applyNumberFormat="1"/>
    <xf numFmtId="0" fontId="0" fillId="0" borderId="2" xfId="0" applyBorder="1"/>
    <xf numFmtId="0" fontId="0" fillId="3" borderId="2" xfId="0" applyFill="1" applyBorder="1"/>
    <xf numFmtId="0" fontId="6" fillId="0" borderId="2" xfId="0" applyFont="1" applyBorder="1"/>
    <xf numFmtId="0" fontId="0" fillId="4" borderId="2" xfId="0" applyFill="1" applyBorder="1"/>
    <xf numFmtId="0" fontId="0" fillId="2" borderId="2" xfId="0" applyFill="1" applyBorder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center" vertical="center"/>
    </xf>
    <xf numFmtId="4" fontId="4" fillId="2" borderId="0" xfId="0" applyNumberFormat="1" applyFont="1" applyFill="1" applyBorder="1" applyAlignment="1"/>
    <xf numFmtId="4" fontId="4" fillId="2" borderId="3" xfId="0" applyNumberFormat="1" applyFont="1" applyFill="1" applyBorder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7" xfId="0" applyFont="1" applyBorder="1"/>
    <xf numFmtId="164" fontId="13" fillId="0" borderId="2" xfId="0" applyNumberFormat="1" applyFont="1" applyFill="1" applyBorder="1" applyAlignment="1">
      <alignment horizontal="center" vertical="center" shrinkToFit="1"/>
    </xf>
    <xf numFmtId="164" fontId="15" fillId="2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5" fillId="0" borderId="7" xfId="0" applyFont="1" applyBorder="1"/>
    <xf numFmtId="164" fontId="15" fillId="0" borderId="2" xfId="0" applyNumberFormat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0" xfId="0" applyFont="1" applyFill="1"/>
    <xf numFmtId="0" fontId="18" fillId="0" borderId="0" xfId="0" applyFont="1"/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0" borderId="0" xfId="0" applyFont="1"/>
    <xf numFmtId="0" fontId="9" fillId="0" borderId="1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165" fontId="20" fillId="2" borderId="2" xfId="0" applyNumberFormat="1" applyFont="1" applyFill="1" applyBorder="1" applyAlignment="1">
      <alignment horizontal="center" vertical="center" wrapText="1"/>
    </xf>
    <xf numFmtId="4" fontId="18" fillId="0" borderId="0" xfId="0" applyNumberFormat="1" applyFont="1"/>
    <xf numFmtId="0" fontId="17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indent="5"/>
    </xf>
    <xf numFmtId="0" fontId="9" fillId="2" borderId="5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0" xfId="0" applyFont="1" applyBorder="1"/>
    <xf numFmtId="0" fontId="7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 wrapText="1"/>
    </xf>
    <xf numFmtId="164" fontId="7" fillId="6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 wrapText="1"/>
    </xf>
    <xf numFmtId="0" fontId="0" fillId="5" borderId="2" xfId="0" applyFill="1" applyBorder="1"/>
    <xf numFmtId="164" fontId="14" fillId="5" borderId="2" xfId="0" applyNumberFormat="1" applyFont="1" applyFill="1" applyBorder="1" applyAlignment="1">
      <alignment horizontal="center" vertical="center"/>
    </xf>
    <xf numFmtId="0" fontId="15" fillId="6" borderId="7" xfId="0" applyFont="1" applyFill="1" applyBorder="1"/>
    <xf numFmtId="0" fontId="15" fillId="6" borderId="2" xfId="0" applyFont="1" applyFill="1" applyBorder="1" applyAlignment="1">
      <alignment wrapText="1"/>
    </xf>
    <xf numFmtId="164" fontId="15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3" fontId="7" fillId="6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wrapText="1"/>
    </xf>
    <xf numFmtId="0" fontId="0" fillId="5" borderId="0" xfId="0" applyFill="1" applyBorder="1" applyAlignment="1">
      <alignment horizontal="center"/>
    </xf>
    <xf numFmtId="4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wrapText="1"/>
    </xf>
    <xf numFmtId="0" fontId="15" fillId="6" borderId="3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wrapText="1"/>
    </xf>
    <xf numFmtId="164" fontId="7" fillId="6" borderId="10" xfId="0" applyNumberFormat="1" applyFont="1" applyFill="1" applyBorder="1" applyAlignment="1">
      <alignment horizontal="center" vertical="center"/>
    </xf>
    <xf numFmtId="4" fontId="7" fillId="6" borderId="10" xfId="0" applyNumberFormat="1" applyFont="1" applyFill="1" applyBorder="1" applyAlignment="1">
      <alignment horizontal="center"/>
    </xf>
    <xf numFmtId="4" fontId="7" fillId="6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164" fontId="20" fillId="2" borderId="16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/>
    <xf numFmtId="0" fontId="16" fillId="3" borderId="2" xfId="0" applyFont="1" applyFill="1" applyBorder="1" applyAlignment="1">
      <alignment horizontal="center"/>
    </xf>
    <xf numFmtId="4" fontId="16" fillId="3" borderId="2" xfId="0" applyNumberFormat="1" applyFont="1" applyFill="1" applyBorder="1"/>
    <xf numFmtId="0" fontId="16" fillId="3" borderId="2" xfId="0" applyFont="1" applyFill="1" applyBorder="1" applyAlignment="1">
      <alignment wrapText="1"/>
    </xf>
    <xf numFmtId="0" fontId="22" fillId="4" borderId="2" xfId="0" applyFont="1" applyFill="1" applyBorder="1"/>
    <xf numFmtId="0" fontId="16" fillId="4" borderId="2" xfId="0" applyFont="1" applyFill="1" applyBorder="1" applyAlignment="1">
      <alignment horizontal="center"/>
    </xf>
    <xf numFmtId="4" fontId="16" fillId="4" borderId="2" xfId="0" applyNumberFormat="1" applyFont="1" applyFill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4" fontId="16" fillId="0" borderId="2" xfId="0" applyNumberFormat="1" applyFont="1" applyBorder="1"/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4" fontId="16" fillId="2" borderId="2" xfId="0" applyNumberFormat="1" applyFont="1" applyFill="1" applyBorder="1"/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" fontId="17" fillId="2" borderId="18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65" fontId="20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4" fillId="3" borderId="2" xfId="0" applyNumberFormat="1" applyFont="1" applyFill="1" applyBorder="1" applyAlignment="1"/>
    <xf numFmtId="4" fontId="2" fillId="0" borderId="0" xfId="0" applyNumberFormat="1" applyFont="1"/>
    <xf numFmtId="4" fontId="7" fillId="0" borderId="2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23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9" fillId="5" borderId="2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/>
    <xf numFmtId="4" fontId="17" fillId="2" borderId="10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/>
    </xf>
    <xf numFmtId="0" fontId="25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horizontal="center" vertical="center"/>
    </xf>
    <xf numFmtId="164" fontId="25" fillId="6" borderId="2" xfId="0" applyNumberFormat="1" applyFont="1" applyFill="1" applyBorder="1" applyAlignment="1">
      <alignment horizontal="center" vertical="center"/>
    </xf>
    <xf numFmtId="0" fontId="26" fillId="0" borderId="0" xfId="0" applyFont="1"/>
    <xf numFmtId="0" fontId="25" fillId="0" borderId="7" xfId="0" applyFont="1" applyBorder="1"/>
    <xf numFmtId="0" fontId="24" fillId="5" borderId="2" xfId="0" applyFont="1" applyFill="1" applyBorder="1"/>
    <xf numFmtId="164" fontId="27" fillId="0" borderId="2" xfId="0" applyNumberFormat="1" applyFont="1" applyFill="1" applyBorder="1" applyAlignment="1">
      <alignment horizontal="center" vertical="center" shrinkToFit="1"/>
    </xf>
    <xf numFmtId="164" fontId="28" fillId="5" borderId="2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0" fontId="26" fillId="5" borderId="2" xfId="0" applyFont="1" applyFill="1" applyBorder="1"/>
    <xf numFmtId="0" fontId="19" fillId="0" borderId="0" xfId="0" applyFont="1" applyAlignment="1">
      <alignment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4" fontId="3" fillId="0" borderId="8" xfId="0" applyNumberFormat="1" applyFont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4" fontId="20" fillId="2" borderId="27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left"/>
    </xf>
    <xf numFmtId="4" fontId="1" fillId="0" borderId="8" xfId="0" applyNumberFormat="1" applyFont="1" applyBorder="1" applyAlignment="1">
      <alignment horizontal="center" vertical="center"/>
    </xf>
    <xf numFmtId="4" fontId="31" fillId="0" borderId="8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166" fontId="1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17" fillId="0" borderId="10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3" fillId="0" borderId="0" xfId="0" applyFont="1"/>
    <xf numFmtId="0" fontId="15" fillId="0" borderId="7" xfId="0" applyFont="1" applyFill="1" applyBorder="1"/>
    <xf numFmtId="0" fontId="15" fillId="0" borderId="2" xfId="0" applyFont="1" applyFill="1" applyBorder="1" applyAlignment="1">
      <alignment wrapText="1"/>
    </xf>
    <xf numFmtId="164" fontId="15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4" fontId="33" fillId="0" borderId="0" xfId="0" applyNumberFormat="1" applyFont="1" applyFill="1"/>
    <xf numFmtId="0" fontId="7" fillId="0" borderId="7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33" fillId="0" borderId="0" xfId="0" applyFont="1" applyFill="1"/>
    <xf numFmtId="0" fontId="34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/>
    <xf numFmtId="164" fontId="35" fillId="0" borderId="0" xfId="0" applyNumberFormat="1" applyFont="1"/>
    <xf numFmtId="164" fontId="33" fillId="0" borderId="0" xfId="0" applyNumberFormat="1" applyFont="1"/>
    <xf numFmtId="0" fontId="32" fillId="0" borderId="0" xfId="0" applyFont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36" fillId="0" borderId="0" xfId="0" applyFont="1" applyBorder="1" applyAlignment="1">
      <alignment horizontal="center"/>
    </xf>
    <xf numFmtId="0" fontId="36" fillId="0" borderId="0" xfId="0" applyFont="1" applyBorder="1"/>
    <xf numFmtId="4" fontId="36" fillId="0" borderId="0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4" fontId="17" fillId="0" borderId="8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168" fontId="19" fillId="0" borderId="0" xfId="0" applyNumberFormat="1" applyFont="1"/>
    <xf numFmtId="4" fontId="15" fillId="0" borderId="0" xfId="0" applyNumberFormat="1" applyFont="1" applyAlignment="1">
      <alignment horizontal="left" vertical="center" indent="5"/>
    </xf>
    <xf numFmtId="167" fontId="0" fillId="0" borderId="0" xfId="0" applyNumberFormat="1"/>
    <xf numFmtId="0" fontId="38" fillId="0" borderId="0" xfId="0" applyFont="1"/>
    <xf numFmtId="0" fontId="38" fillId="2" borderId="0" xfId="0" applyFont="1" applyFill="1"/>
    <xf numFmtId="4" fontId="38" fillId="0" borderId="0" xfId="0" applyNumberFormat="1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right"/>
    </xf>
    <xf numFmtId="4" fontId="38" fillId="0" borderId="0" xfId="0" applyNumberFormat="1" applyFont="1" applyFill="1"/>
    <xf numFmtId="0" fontId="38" fillId="0" borderId="0" xfId="0" applyFont="1" applyFill="1"/>
    <xf numFmtId="169" fontId="2" fillId="2" borderId="0" xfId="0" applyNumberFormat="1" applyFont="1" applyFill="1" applyAlignment="1">
      <alignment horizontal="right"/>
    </xf>
    <xf numFmtId="169" fontId="0" fillId="0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66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right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2" borderId="6" xfId="0" applyNumberFormat="1" applyFont="1" applyFill="1" applyBorder="1" applyAlignment="1">
      <alignment horizontal="right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right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  <xf numFmtId="0" fontId="14" fillId="0" borderId="0" xfId="0" applyFont="1"/>
    <xf numFmtId="164" fontId="14" fillId="0" borderId="0" xfId="0" applyNumberFormat="1" applyFont="1" applyAlignment="1">
      <alignment horizontal="center"/>
    </xf>
    <xf numFmtId="164" fontId="14" fillId="0" borderId="0" xfId="0" applyNumberFormat="1" applyFont="1"/>
    <xf numFmtId="164" fontId="39" fillId="0" borderId="0" xfId="0" applyNumberFormat="1" applyFont="1"/>
    <xf numFmtId="164" fontId="38" fillId="0" borderId="0" xfId="0" applyNumberFormat="1" applyFont="1"/>
    <xf numFmtId="170" fontId="26" fillId="0" borderId="0" xfId="0" applyNumberFormat="1" applyFont="1"/>
    <xf numFmtId="4" fontId="14" fillId="0" borderId="0" xfId="0" applyNumberFormat="1" applyFont="1" applyAlignment="1">
      <alignment horizontal="center"/>
    </xf>
    <xf numFmtId="166" fontId="14" fillId="0" borderId="0" xfId="0" applyNumberFormat="1" applyFont="1"/>
    <xf numFmtId="169" fontId="9" fillId="2" borderId="5" xfId="0" applyNumberFormat="1" applyFont="1" applyFill="1" applyBorder="1" applyAlignment="1">
      <alignment horizontal="right" vertical="center" wrapText="1"/>
    </xf>
    <xf numFmtId="169" fontId="9" fillId="2" borderId="2" xfId="0" applyNumberFormat="1" applyFont="1" applyFill="1" applyBorder="1" applyAlignment="1">
      <alignment horizontal="right" vertical="center" wrapText="1"/>
    </xf>
    <xf numFmtId="4" fontId="40" fillId="0" borderId="2" xfId="0" applyNumberFormat="1" applyFont="1" applyBorder="1" applyAlignment="1">
      <alignment horizontal="center" vertical="center"/>
    </xf>
    <xf numFmtId="171" fontId="10" fillId="2" borderId="2" xfId="0" applyNumberFormat="1" applyFont="1" applyFill="1" applyBorder="1" applyAlignment="1">
      <alignment horizontal="center" vertical="center" wrapText="1"/>
    </xf>
    <xf numFmtId="171" fontId="9" fillId="0" borderId="2" xfId="0" applyNumberFormat="1" applyFont="1" applyFill="1" applyBorder="1" applyAlignment="1">
      <alignment horizontal="center" vertical="center" wrapText="1"/>
    </xf>
    <xf numFmtId="171" fontId="10" fillId="0" borderId="2" xfId="0" applyNumberFormat="1" applyFont="1" applyFill="1" applyBorder="1" applyAlignment="1">
      <alignment horizontal="center" vertical="center" wrapText="1"/>
    </xf>
    <xf numFmtId="171" fontId="9" fillId="2" borderId="2" xfId="0" applyNumberFormat="1" applyFont="1" applyFill="1" applyBorder="1" applyAlignment="1">
      <alignment horizontal="center" vertical="center" wrapText="1"/>
    </xf>
    <xf numFmtId="4" fontId="38" fillId="3" borderId="0" xfId="0" applyNumberFormat="1" applyFont="1" applyFill="1"/>
    <xf numFmtId="4" fontId="2" fillId="2" borderId="0" xfId="0" applyNumberFormat="1" applyFont="1" applyFill="1" applyBorder="1" applyAlignment="1">
      <alignment vertical="center"/>
    </xf>
    <xf numFmtId="4" fontId="41" fillId="2" borderId="0" xfId="0" applyNumberFormat="1" applyFont="1" applyFill="1" applyBorder="1" applyAlignment="1">
      <alignment vertical="center" wrapText="1"/>
    </xf>
    <xf numFmtId="166" fontId="7" fillId="6" borderId="2" xfId="0" applyNumberFormat="1" applyFont="1" applyFill="1" applyBorder="1" applyAlignment="1">
      <alignment horizontal="center" vertical="center"/>
    </xf>
    <xf numFmtId="166" fontId="28" fillId="2" borderId="2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/>
    <xf numFmtId="167" fontId="21" fillId="0" borderId="0" xfId="0" applyNumberFormat="1" applyFont="1"/>
    <xf numFmtId="170" fontId="13" fillId="0" borderId="2" xfId="0" applyNumberFormat="1" applyFont="1" applyFill="1" applyBorder="1" applyAlignment="1">
      <alignment horizontal="center" vertical="center" shrinkToFit="1"/>
    </xf>
    <xf numFmtId="2" fontId="26" fillId="0" borderId="0" xfId="0" applyNumberFormat="1" applyFont="1"/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vertical="center"/>
    </xf>
    <xf numFmtId="164" fontId="43" fillId="0" borderId="0" xfId="0" applyNumberFormat="1" applyFont="1" applyAlignment="1">
      <alignment vertical="center"/>
    </xf>
    <xf numFmtId="165" fontId="26" fillId="0" borderId="0" xfId="0" applyNumberFormat="1" applyFont="1"/>
    <xf numFmtId="164" fontId="26" fillId="0" borderId="0" xfId="0" applyNumberFormat="1" applyFont="1" applyFill="1"/>
    <xf numFmtId="1" fontId="9" fillId="0" borderId="7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41" fillId="0" borderId="0" xfId="0" applyNumberFormat="1" applyFont="1"/>
    <xf numFmtId="1" fontId="2" fillId="0" borderId="0" xfId="0" applyNumberFormat="1" applyFont="1"/>
    <xf numFmtId="4" fontId="21" fillId="0" borderId="0" xfId="0" applyNumberFormat="1" applyFont="1"/>
    <xf numFmtId="171" fontId="10" fillId="2" borderId="8" xfId="0" applyNumberFormat="1" applyFont="1" applyFill="1" applyBorder="1" applyAlignment="1">
      <alignment horizontal="center" vertical="center" wrapText="1"/>
    </xf>
    <xf numFmtId="171" fontId="10" fillId="0" borderId="8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" fontId="1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/>
    </xf>
    <xf numFmtId="164" fontId="3" fillId="5" borderId="28" xfId="0" applyNumberFormat="1" applyFont="1" applyFill="1" applyBorder="1" applyAlignment="1">
      <alignment horizontal="center" vertical="center" wrapText="1"/>
    </xf>
    <xf numFmtId="164" fontId="3" fillId="5" borderId="29" xfId="0" applyNumberFormat="1" applyFont="1" applyFill="1" applyBorder="1" applyAlignment="1">
      <alignment horizontal="center" vertical="center" wrapText="1"/>
    </xf>
    <xf numFmtId="164" fontId="3" fillId="5" borderId="24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7" fillId="0" borderId="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40"/>
  <sheetViews>
    <sheetView topLeftCell="A7" workbookViewId="0">
      <selection activeCell="E24" sqref="E24"/>
    </sheetView>
  </sheetViews>
  <sheetFormatPr defaultRowHeight="15" x14ac:dyDescent="0.25"/>
  <cols>
    <col min="2" max="2" width="52.42578125" customWidth="1"/>
    <col min="3" max="3" width="14.42578125" customWidth="1"/>
    <col min="4" max="4" width="15" style="34" customWidth="1"/>
    <col min="5" max="5" width="12.85546875" customWidth="1"/>
    <col min="6" max="6" width="13.85546875" customWidth="1"/>
  </cols>
  <sheetData>
    <row r="2" spans="1:12" ht="43.5" customHeight="1" x14ac:dyDescent="0.25">
      <c r="A2" s="37" t="s">
        <v>13</v>
      </c>
      <c r="B2" s="135" t="s">
        <v>14</v>
      </c>
      <c r="C2" s="134" t="s">
        <v>43</v>
      </c>
      <c r="D2" s="143" t="s">
        <v>15</v>
      </c>
      <c r="E2" s="225"/>
      <c r="F2" s="225"/>
      <c r="G2" s="225"/>
      <c r="H2" s="225"/>
      <c r="I2" s="225"/>
      <c r="J2" s="225"/>
      <c r="K2" s="225"/>
      <c r="L2" s="225"/>
    </row>
    <row r="3" spans="1:12" x14ac:dyDescent="0.25">
      <c r="A3" s="36">
        <v>1</v>
      </c>
      <c r="B3" s="121" t="s">
        <v>16</v>
      </c>
      <c r="C3" s="122" t="s">
        <v>45</v>
      </c>
      <c r="D3" s="123">
        <f>875545.11+248346.45</f>
        <v>1123891.56</v>
      </c>
      <c r="E3" s="225"/>
      <c r="F3" s="225"/>
      <c r="G3" s="225"/>
      <c r="H3" s="225"/>
      <c r="I3" s="225"/>
      <c r="J3" s="225"/>
      <c r="K3" s="225"/>
      <c r="L3" s="225"/>
    </row>
    <row r="4" spans="1:12" ht="30" x14ac:dyDescent="0.25">
      <c r="A4" s="36">
        <v>2</v>
      </c>
      <c r="B4" s="124" t="s">
        <v>17</v>
      </c>
      <c r="C4" s="122" t="s">
        <v>45</v>
      </c>
      <c r="D4" s="123">
        <v>0</v>
      </c>
      <c r="E4" s="225"/>
      <c r="F4" s="225"/>
      <c r="G4" s="225"/>
      <c r="H4" s="225"/>
      <c r="I4" s="225"/>
      <c r="J4" s="225"/>
      <c r="K4" s="225"/>
      <c r="L4" s="225"/>
    </row>
    <row r="5" spans="1:12" x14ac:dyDescent="0.25">
      <c r="A5" s="36">
        <v>3</v>
      </c>
      <c r="B5" s="121" t="s">
        <v>18</v>
      </c>
      <c r="C5" s="122" t="s">
        <v>45</v>
      </c>
      <c r="D5" s="123">
        <v>0</v>
      </c>
      <c r="E5" s="225"/>
      <c r="F5" s="225"/>
      <c r="G5" s="225"/>
      <c r="H5" s="225"/>
      <c r="I5" s="225"/>
      <c r="J5" s="225"/>
      <c r="K5" s="225"/>
      <c r="L5" s="225"/>
    </row>
    <row r="6" spans="1:12" s="40" customFormat="1" x14ac:dyDescent="0.25">
      <c r="A6" s="36"/>
      <c r="B6" s="121" t="s">
        <v>181</v>
      </c>
      <c r="C6" s="122" t="s">
        <v>46</v>
      </c>
      <c r="D6" s="123">
        <v>0</v>
      </c>
      <c r="E6" s="226"/>
      <c r="F6" s="226"/>
      <c r="G6" s="226"/>
      <c r="H6" s="226"/>
      <c r="I6" s="226"/>
      <c r="J6" s="226"/>
      <c r="K6" s="226"/>
      <c r="L6" s="226"/>
    </row>
    <row r="7" spans="1:12" x14ac:dyDescent="0.25">
      <c r="A7" s="36">
        <v>4</v>
      </c>
      <c r="B7" s="121" t="s">
        <v>19</v>
      </c>
      <c r="C7" s="122" t="s">
        <v>45</v>
      </c>
      <c r="D7" s="123">
        <f>465656.4+130782.96</f>
        <v>596439.36</v>
      </c>
      <c r="E7" s="225"/>
      <c r="F7" s="225"/>
      <c r="G7" s="225"/>
      <c r="H7" s="225"/>
      <c r="I7" s="225"/>
      <c r="J7" s="225"/>
      <c r="K7" s="225"/>
      <c r="L7" s="225"/>
    </row>
    <row r="8" spans="1:12" x14ac:dyDescent="0.25">
      <c r="A8" s="38"/>
      <c r="B8" s="125" t="s">
        <v>20</v>
      </c>
      <c r="C8" s="126"/>
      <c r="D8" s="127">
        <f>D3+D4+D5+D6+D7</f>
        <v>1720330.92</v>
      </c>
      <c r="E8" s="225"/>
      <c r="F8" s="225"/>
      <c r="G8" s="225"/>
      <c r="H8" s="225"/>
      <c r="I8" s="225"/>
      <c r="J8" s="225"/>
      <c r="K8" s="225"/>
      <c r="L8" s="225"/>
    </row>
    <row r="9" spans="1:12" x14ac:dyDescent="0.25">
      <c r="A9" s="36"/>
      <c r="B9" s="121" t="s">
        <v>21</v>
      </c>
      <c r="C9" s="122" t="s">
        <v>46</v>
      </c>
      <c r="D9" s="123">
        <v>0</v>
      </c>
      <c r="E9" s="225"/>
      <c r="F9" s="225"/>
      <c r="G9" s="225"/>
      <c r="H9" s="225"/>
      <c r="I9" s="225"/>
      <c r="J9" s="225"/>
      <c r="K9" s="225"/>
      <c r="L9" s="225"/>
    </row>
    <row r="10" spans="1:12" x14ac:dyDescent="0.25">
      <c r="A10" s="36">
        <v>5</v>
      </c>
      <c r="B10" s="121" t="s">
        <v>183</v>
      </c>
      <c r="C10" s="122" t="s">
        <v>46</v>
      </c>
      <c r="D10" s="123">
        <v>0</v>
      </c>
      <c r="E10" s="225"/>
      <c r="F10" s="225" t="s">
        <v>174</v>
      </c>
      <c r="G10" s="225"/>
      <c r="H10" s="225"/>
      <c r="I10" s="225"/>
      <c r="J10" s="225"/>
      <c r="K10" s="225"/>
      <c r="L10" s="225"/>
    </row>
    <row r="11" spans="1:12" x14ac:dyDescent="0.25">
      <c r="A11" s="36">
        <v>6</v>
      </c>
      <c r="B11" s="121" t="s">
        <v>22</v>
      </c>
      <c r="C11" s="122" t="s">
        <v>45</v>
      </c>
      <c r="D11" s="123">
        <v>0</v>
      </c>
      <c r="E11" s="225"/>
      <c r="F11" s="225"/>
      <c r="G11" s="225"/>
      <c r="H11" s="225"/>
      <c r="I11" s="225"/>
      <c r="J11" s="225"/>
      <c r="K11" s="225"/>
      <c r="L11" s="225"/>
    </row>
    <row r="12" spans="1:12" x14ac:dyDescent="0.25">
      <c r="A12" s="36">
        <v>7</v>
      </c>
      <c r="B12" s="121" t="s">
        <v>23</v>
      </c>
      <c r="C12" s="122" t="s">
        <v>46</v>
      </c>
      <c r="D12" s="123">
        <f>116414.1+31749.3</f>
        <v>148163.4</v>
      </c>
      <c r="E12" s="225"/>
      <c r="F12" s="225"/>
      <c r="G12" s="225"/>
      <c r="H12" s="225"/>
      <c r="I12" s="225"/>
      <c r="J12" s="225"/>
      <c r="K12" s="225"/>
      <c r="L12" s="225"/>
    </row>
    <row r="13" spans="1:12" x14ac:dyDescent="0.25">
      <c r="A13" s="36">
        <v>8</v>
      </c>
      <c r="B13" s="121" t="s">
        <v>24</v>
      </c>
      <c r="C13" s="122" t="s">
        <v>46</v>
      </c>
      <c r="D13" s="123">
        <v>0</v>
      </c>
      <c r="E13" s="225" t="s">
        <v>193</v>
      </c>
      <c r="F13" s="227">
        <f>D3+D4+D5+D6+D7+D9+D10+D11+D12+D13+D14</f>
        <v>2016657.7199999997</v>
      </c>
      <c r="G13" s="225"/>
      <c r="H13" s="225"/>
      <c r="I13" s="225"/>
      <c r="J13" s="225"/>
      <c r="K13" s="225"/>
      <c r="L13" s="225"/>
    </row>
    <row r="14" spans="1:12" x14ac:dyDescent="0.25">
      <c r="A14" s="36">
        <v>9</v>
      </c>
      <c r="B14" s="121" t="s">
        <v>25</v>
      </c>
      <c r="C14" s="122" t="s">
        <v>45</v>
      </c>
      <c r="D14" s="123">
        <f>D12</f>
        <v>148163.4</v>
      </c>
      <c r="E14" s="225" t="s">
        <v>192</v>
      </c>
      <c r="F14" s="227">
        <f>D15+D16+D18+D19+D20+D21+D22+D23+D24+D25+D26+D27+D28+D29</f>
        <v>5926535.9999999991</v>
      </c>
      <c r="G14" s="225"/>
      <c r="H14" s="225"/>
      <c r="I14" s="225"/>
      <c r="J14" s="225"/>
      <c r="K14" s="225"/>
      <c r="L14" s="225"/>
    </row>
    <row r="15" spans="1:12" x14ac:dyDescent="0.25">
      <c r="A15" s="35">
        <v>10</v>
      </c>
      <c r="B15" s="128" t="s">
        <v>26</v>
      </c>
      <c r="C15" s="129" t="s">
        <v>46</v>
      </c>
      <c r="D15" s="130">
        <f>465656.4+126997.2</f>
        <v>592653.6</v>
      </c>
      <c r="E15" s="225"/>
      <c r="F15" s="225"/>
      <c r="G15" s="225"/>
      <c r="H15" s="225"/>
      <c r="I15" s="225"/>
      <c r="J15" s="225"/>
      <c r="K15" s="225"/>
      <c r="L15" s="225"/>
    </row>
    <row r="16" spans="1:12" s="40" customFormat="1" x14ac:dyDescent="0.25">
      <c r="A16" s="39">
        <v>11</v>
      </c>
      <c r="B16" s="131" t="s">
        <v>27</v>
      </c>
      <c r="C16" s="132" t="s">
        <v>46</v>
      </c>
      <c r="D16" s="133">
        <f>D15*6</f>
        <v>3555921.5999999996</v>
      </c>
      <c r="E16" s="226"/>
      <c r="F16" s="226"/>
      <c r="G16" s="226"/>
      <c r="H16" s="226"/>
      <c r="I16" s="226"/>
      <c r="J16" s="226"/>
      <c r="K16" s="226"/>
      <c r="L16" s="226"/>
    </row>
    <row r="17" spans="1:32" x14ac:dyDescent="0.25">
      <c r="A17" s="38"/>
      <c r="B17" s="125" t="s">
        <v>28</v>
      </c>
      <c r="C17" s="126"/>
      <c r="D17" s="127">
        <f>D9+D10+D11+D12+D13+D14+D15+D16</f>
        <v>4444902</v>
      </c>
      <c r="E17" s="225"/>
      <c r="F17" s="225"/>
      <c r="G17" s="225"/>
      <c r="H17" s="225"/>
      <c r="I17" s="225">
        <v>4262813</v>
      </c>
      <c r="J17" s="225">
        <v>7890457</v>
      </c>
      <c r="K17" s="225"/>
      <c r="L17" s="225"/>
    </row>
    <row r="18" spans="1:32" x14ac:dyDescent="0.25">
      <c r="A18" s="39">
        <v>12</v>
      </c>
      <c r="B18" s="131" t="s">
        <v>29</v>
      </c>
      <c r="C18" s="132" t="s">
        <v>46</v>
      </c>
      <c r="D18" s="133">
        <v>0</v>
      </c>
      <c r="E18" s="225"/>
      <c r="F18" s="225"/>
      <c r="G18" s="225"/>
      <c r="H18" s="225"/>
      <c r="I18" s="225"/>
      <c r="J18" s="225"/>
      <c r="K18" s="225"/>
      <c r="L18" s="225"/>
    </row>
    <row r="19" spans="1:32" x14ac:dyDescent="0.25">
      <c r="A19" s="39">
        <v>13</v>
      </c>
      <c r="B19" s="131" t="s">
        <v>30</v>
      </c>
      <c r="C19" s="132" t="s">
        <v>45</v>
      </c>
      <c r="D19" s="133">
        <v>0</v>
      </c>
      <c r="E19" s="228" t="s">
        <v>48</v>
      </c>
      <c r="F19" s="229" t="s">
        <v>49</v>
      </c>
      <c r="G19" s="225"/>
      <c r="H19" s="225"/>
      <c r="I19" s="225"/>
      <c r="J19" s="225"/>
      <c r="K19" s="225"/>
      <c r="L19" s="225"/>
    </row>
    <row r="20" spans="1:32" x14ac:dyDescent="0.25">
      <c r="A20" s="39">
        <v>14</v>
      </c>
      <c r="B20" s="131" t="s">
        <v>31</v>
      </c>
      <c r="C20" s="132" t="s">
        <v>46</v>
      </c>
      <c r="D20" s="133">
        <f>D15*2</f>
        <v>1185307.2</v>
      </c>
      <c r="E20" s="227">
        <f>F14</f>
        <v>5926535.9999999991</v>
      </c>
      <c r="F20" s="227">
        <f>E20*F25</f>
        <v>3029533.3309672624</v>
      </c>
      <c r="G20" s="230" t="s">
        <v>47</v>
      </c>
      <c r="H20" s="225" t="s">
        <v>193</v>
      </c>
      <c r="I20" s="225"/>
      <c r="J20" s="225"/>
      <c r="K20" s="225"/>
      <c r="L20" s="225"/>
    </row>
    <row r="21" spans="1:32" x14ac:dyDescent="0.25">
      <c r="A21" s="39">
        <v>15</v>
      </c>
      <c r="B21" s="131" t="s">
        <v>32</v>
      </c>
      <c r="C21" s="132" t="s">
        <v>46</v>
      </c>
      <c r="D21" s="133">
        <v>0</v>
      </c>
      <c r="E21" s="227">
        <f>F13</f>
        <v>2016657.7199999997</v>
      </c>
      <c r="F21" s="227">
        <f>E21*F25</f>
        <v>1030877.3590327377</v>
      </c>
      <c r="G21" s="230" t="s">
        <v>44</v>
      </c>
      <c r="H21" s="225" t="s">
        <v>192</v>
      </c>
      <c r="I21" s="225"/>
      <c r="J21" s="225"/>
      <c r="K21" s="225"/>
      <c r="L21" s="225"/>
    </row>
    <row r="22" spans="1:32" s="40" customFormat="1" x14ac:dyDescent="0.25">
      <c r="A22" s="39">
        <v>16</v>
      </c>
      <c r="B22" s="131" t="s">
        <v>33</v>
      </c>
      <c r="C22" s="132" t="s">
        <v>45</v>
      </c>
      <c r="D22" s="133">
        <f>D15</f>
        <v>592653.6</v>
      </c>
      <c r="E22" s="231">
        <f>SUM(E20:E21)</f>
        <v>7943193.7199999988</v>
      </c>
      <c r="F22" s="264">
        <v>4060410.69</v>
      </c>
      <c r="G22" s="232"/>
      <c r="H22" s="232"/>
      <c r="I22" s="232"/>
      <c r="J22" s="232"/>
      <c r="K22" s="232"/>
      <c r="L22" s="23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</row>
    <row r="23" spans="1:32" s="40" customFormat="1" x14ac:dyDescent="0.25">
      <c r="A23" s="39">
        <v>17</v>
      </c>
      <c r="B23" s="131" t="s">
        <v>34</v>
      </c>
      <c r="C23" s="132" t="s">
        <v>45</v>
      </c>
      <c r="D23" s="133">
        <v>0</v>
      </c>
      <c r="E23" s="232"/>
      <c r="F23" s="231">
        <f>D35-F22</f>
        <v>518932.31000000006</v>
      </c>
      <c r="G23" s="232"/>
      <c r="H23" s="232"/>
      <c r="I23" s="232"/>
      <c r="J23" s="232"/>
      <c r="K23" s="232"/>
      <c r="L23" s="23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</row>
    <row r="24" spans="1:32" s="40" customFormat="1" x14ac:dyDescent="0.25">
      <c r="A24" s="39">
        <v>18</v>
      </c>
      <c r="B24" s="131" t="s">
        <v>35</v>
      </c>
      <c r="C24" s="132" t="s">
        <v>45</v>
      </c>
      <c r="D24" s="133">
        <v>0</v>
      </c>
      <c r="E24" s="232"/>
      <c r="F24" s="232"/>
      <c r="G24" s="232"/>
      <c r="H24" s="232"/>
      <c r="I24" s="232"/>
      <c r="J24" s="232"/>
      <c r="K24" s="232"/>
      <c r="L24" s="23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</row>
    <row r="25" spans="1:32" s="40" customFormat="1" x14ac:dyDescent="0.25">
      <c r="A25" s="39">
        <v>19</v>
      </c>
      <c r="B25" s="131" t="s">
        <v>36</v>
      </c>
      <c r="C25" s="132" t="s">
        <v>45</v>
      </c>
      <c r="D25" s="133">
        <v>0</v>
      </c>
      <c r="E25" s="232"/>
      <c r="F25" s="232">
        <f>F22/E22</f>
        <v>0.51118112350406086</v>
      </c>
      <c r="G25" s="232"/>
      <c r="H25" s="232"/>
      <c r="I25" s="232"/>
      <c r="J25" s="232"/>
      <c r="K25" s="232"/>
      <c r="L25" s="23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</row>
    <row r="26" spans="1:32" s="40" customFormat="1" x14ac:dyDescent="0.25">
      <c r="A26" s="39">
        <v>20</v>
      </c>
      <c r="B26" s="131" t="s">
        <v>37</v>
      </c>
      <c r="C26" s="132" t="s">
        <v>45</v>
      </c>
      <c r="D26" s="133">
        <v>0</v>
      </c>
      <c r="E26" s="232"/>
      <c r="F26" s="232"/>
      <c r="G26" s="232"/>
      <c r="H26" s="232"/>
      <c r="I26" s="232"/>
      <c r="J26" s="232"/>
      <c r="K26" s="232"/>
      <c r="L26" s="23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</row>
    <row r="27" spans="1:32" s="40" customFormat="1" x14ac:dyDescent="0.25">
      <c r="A27" s="39">
        <v>21</v>
      </c>
      <c r="B27" s="131" t="s">
        <v>38</v>
      </c>
      <c r="C27" s="132" t="s">
        <v>45</v>
      </c>
      <c r="D27" s="133">
        <v>0</v>
      </c>
      <c r="E27" s="232"/>
      <c r="F27" s="232"/>
      <c r="G27" s="232"/>
      <c r="H27" s="232"/>
      <c r="I27" s="232"/>
      <c r="J27" s="232"/>
      <c r="K27" s="232"/>
      <c r="L27" s="23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</row>
    <row r="28" spans="1:32" s="40" customFormat="1" x14ac:dyDescent="0.25">
      <c r="A28" s="39">
        <v>22</v>
      </c>
      <c r="B28" s="131" t="s">
        <v>39</v>
      </c>
      <c r="C28" s="132" t="s">
        <v>45</v>
      </c>
      <c r="D28" s="133">
        <v>0</v>
      </c>
      <c r="E28" s="232"/>
      <c r="F28" s="232"/>
      <c r="G28" s="232"/>
      <c r="H28" s="232"/>
      <c r="I28" s="232"/>
      <c r="J28" s="232"/>
      <c r="K28" s="232"/>
      <c r="L28" s="23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</row>
    <row r="29" spans="1:32" s="40" customFormat="1" x14ac:dyDescent="0.25">
      <c r="A29" s="39">
        <v>23</v>
      </c>
      <c r="B29" s="131" t="s">
        <v>40</v>
      </c>
      <c r="C29" s="132" t="s">
        <v>45</v>
      </c>
      <c r="D29" s="133">
        <v>0</v>
      </c>
      <c r="E29" s="231"/>
      <c r="F29" s="232"/>
      <c r="G29" s="232"/>
      <c r="H29" s="232"/>
      <c r="I29" s="232"/>
      <c r="J29" s="232"/>
      <c r="K29" s="232"/>
      <c r="L29" s="23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</row>
    <row r="30" spans="1:32" x14ac:dyDescent="0.25">
      <c r="A30" s="38"/>
      <c r="B30" s="125" t="s">
        <v>41</v>
      </c>
      <c r="C30" s="126"/>
      <c r="D30" s="127">
        <f>D18+D19+D20+D21+D22+D23+D24+D25+D26+D27+D28+D29</f>
        <v>1777960.7999999998</v>
      </c>
      <c r="E30" s="232"/>
      <c r="F30" s="232"/>
      <c r="G30" s="232"/>
      <c r="H30" s="232"/>
      <c r="I30" s="232"/>
      <c r="J30" s="232"/>
      <c r="K30" s="232"/>
      <c r="L30" s="23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</row>
    <row r="31" spans="1:32" x14ac:dyDescent="0.25">
      <c r="A31" s="35"/>
      <c r="B31" s="128" t="s">
        <v>42</v>
      </c>
      <c r="C31" s="128"/>
      <c r="D31" s="130">
        <f>D8+D17+D30</f>
        <v>7943193.7199999997</v>
      </c>
      <c r="E31" s="225"/>
      <c r="F31" s="225"/>
      <c r="G31" s="225"/>
      <c r="H31" s="225"/>
      <c r="I31" s="225"/>
      <c r="J31" s="225"/>
      <c r="K31" s="225"/>
      <c r="L31" s="225"/>
    </row>
    <row r="32" spans="1:32" x14ac:dyDescent="0.25">
      <c r="E32" s="225"/>
      <c r="F32" s="225"/>
      <c r="G32" s="225"/>
      <c r="H32" s="225"/>
      <c r="I32" s="225"/>
      <c r="J32" s="225"/>
      <c r="K32" s="225"/>
      <c r="L32" s="225"/>
    </row>
    <row r="33" spans="2:12" x14ac:dyDescent="0.25">
      <c r="E33" s="225"/>
      <c r="F33" s="225"/>
      <c r="G33" s="225"/>
      <c r="H33" s="225"/>
      <c r="I33" s="225"/>
      <c r="J33" s="225"/>
      <c r="K33" s="225"/>
      <c r="L33" s="225"/>
    </row>
    <row r="34" spans="2:12" x14ac:dyDescent="0.25">
      <c r="B34" s="206"/>
      <c r="C34" s="203"/>
      <c r="D34" s="203">
        <f>D31+52500</f>
        <v>7995693.7199999997</v>
      </c>
      <c r="E34" s="206"/>
      <c r="F34" s="206"/>
    </row>
    <row r="35" spans="2:12" x14ac:dyDescent="0.25">
      <c r="B35" s="206"/>
      <c r="C35" s="206"/>
      <c r="D35" s="203">
        <v>4579343</v>
      </c>
      <c r="E35" s="206"/>
      <c r="F35" s="206"/>
    </row>
    <row r="36" spans="2:12" x14ac:dyDescent="0.25">
      <c r="B36" s="206"/>
      <c r="C36" s="206"/>
      <c r="D36" s="203">
        <f>D35/D34*100</f>
        <v>57.272616490367525</v>
      </c>
      <c r="E36" s="206"/>
      <c r="F36" s="206"/>
    </row>
    <row r="37" spans="2:12" x14ac:dyDescent="0.25">
      <c r="B37" s="206"/>
      <c r="C37" s="206"/>
      <c r="D37" s="203">
        <f>D34-D31</f>
        <v>52500</v>
      </c>
      <c r="E37" s="206"/>
      <c r="F37" s="206"/>
    </row>
    <row r="38" spans="2:12" x14ac:dyDescent="0.25">
      <c r="B38" s="206"/>
      <c r="C38" s="206"/>
      <c r="D38" s="203"/>
      <c r="E38" s="206"/>
      <c r="F38" s="206"/>
    </row>
    <row r="39" spans="2:12" x14ac:dyDescent="0.25">
      <c r="B39" s="206"/>
      <c r="C39" s="206"/>
      <c r="D39" s="203"/>
      <c r="E39" s="206"/>
      <c r="F39" s="206"/>
    </row>
    <row r="40" spans="2:12" x14ac:dyDescent="0.25">
      <c r="B40" s="206"/>
      <c r="C40" s="206"/>
      <c r="D40" s="203"/>
      <c r="E40" s="206"/>
      <c r="F40" s="206"/>
    </row>
  </sheetData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31"/>
  <sheetViews>
    <sheetView view="pageBreakPreview" zoomScaleNormal="100" zoomScaleSheetLayoutView="100" workbookViewId="0">
      <selection activeCell="N26" sqref="N26"/>
    </sheetView>
  </sheetViews>
  <sheetFormatPr defaultColWidth="9.140625" defaultRowHeight="15" x14ac:dyDescent="0.25"/>
  <cols>
    <col min="1" max="1" width="10.7109375" style="2" customWidth="1"/>
    <col min="2" max="2" width="7" style="2" customWidth="1"/>
    <col min="3" max="3" width="7.85546875" style="2" hidden="1" customWidth="1"/>
    <col min="4" max="4" width="11.5703125" style="2" customWidth="1"/>
    <col min="5" max="6" width="6.140625" style="2" bestFit="1" customWidth="1"/>
    <col min="7" max="7" width="7" style="2" bestFit="1" customWidth="1"/>
    <col min="8" max="8" width="9.85546875" style="2" customWidth="1"/>
    <col min="9" max="9" width="13.85546875" style="2" customWidth="1"/>
    <col min="10" max="10" width="13.7109375" style="2" customWidth="1"/>
    <col min="11" max="11" width="14.7109375" style="2" customWidth="1"/>
    <col min="12" max="12" width="16.140625" style="2" customWidth="1"/>
    <col min="13" max="13" width="12.28515625" style="2" customWidth="1"/>
    <col min="14" max="14" width="10.85546875" style="2" bestFit="1" customWidth="1"/>
    <col min="15" max="15" width="14.140625" style="2" customWidth="1"/>
    <col min="16" max="17" width="9.140625" style="2"/>
    <col min="18" max="18" width="13" style="2" customWidth="1"/>
    <col min="19" max="19" width="13.140625" style="2" customWidth="1"/>
    <col min="20" max="20" width="12.5703125" style="2" customWidth="1"/>
    <col min="21" max="21" width="12" style="2" customWidth="1"/>
    <col min="22" max="22" width="11.42578125" style="2" customWidth="1"/>
    <col min="23" max="16384" width="9.140625" style="2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" customHeight="1" x14ac:dyDescent="0.25">
      <c r="A2" s="3"/>
      <c r="B2" s="290" t="s">
        <v>50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22" x14ac:dyDescent="0.25">
      <c r="A3" s="3"/>
      <c r="B3" s="289" t="s">
        <v>0</v>
      </c>
      <c r="C3" s="291" t="s">
        <v>1</v>
      </c>
      <c r="D3" s="291" t="s">
        <v>185</v>
      </c>
      <c r="E3" s="291" t="s">
        <v>184</v>
      </c>
      <c r="F3" s="291" t="s">
        <v>2</v>
      </c>
      <c r="G3" s="289" t="s">
        <v>3</v>
      </c>
      <c r="H3" s="289" t="s">
        <v>4</v>
      </c>
      <c r="I3" s="292">
        <v>2023</v>
      </c>
      <c r="J3" s="291" t="s">
        <v>5</v>
      </c>
      <c r="K3" s="291"/>
      <c r="L3" s="291"/>
      <c r="M3" s="289" t="s">
        <v>6</v>
      </c>
      <c r="N3" s="4"/>
      <c r="O3" s="4"/>
      <c r="P3" s="4"/>
      <c r="Q3" s="4"/>
      <c r="R3" s="4"/>
      <c r="S3" s="4"/>
      <c r="T3" s="4"/>
      <c r="U3" s="4"/>
      <c r="V3" s="4"/>
    </row>
    <row r="4" spans="1:22" s="10" customFormat="1" ht="27.75" customHeight="1" x14ac:dyDescent="0.2">
      <c r="A4" s="5"/>
      <c r="B4" s="289"/>
      <c r="C4" s="291"/>
      <c r="D4" s="291"/>
      <c r="E4" s="291"/>
      <c r="F4" s="291"/>
      <c r="G4" s="289"/>
      <c r="H4" s="289"/>
      <c r="I4" s="292"/>
      <c r="J4" s="6" t="s">
        <v>7</v>
      </c>
      <c r="K4" s="7" t="s">
        <v>8</v>
      </c>
      <c r="L4" s="7" t="s">
        <v>9</v>
      </c>
      <c r="M4" s="289"/>
      <c r="N4" s="3"/>
      <c r="O4" s="212"/>
      <c r="P4" s="212"/>
      <c r="Q4" s="212"/>
      <c r="R4" s="9"/>
      <c r="S4" s="3"/>
      <c r="T4" s="3"/>
      <c r="U4" s="3"/>
      <c r="V4" s="8"/>
    </row>
    <row r="5" spans="1:22" s="19" customFormat="1" ht="13.5" customHeight="1" x14ac:dyDescent="0.2">
      <c r="A5" s="11"/>
      <c r="B5" s="12" t="s">
        <v>10</v>
      </c>
      <c r="C5" s="12" t="s">
        <v>11</v>
      </c>
      <c r="D5" s="13" t="s">
        <v>186</v>
      </c>
      <c r="E5" s="14">
        <v>111</v>
      </c>
      <c r="F5" s="14">
        <v>211</v>
      </c>
      <c r="G5" s="14">
        <v>110</v>
      </c>
      <c r="H5" s="14" t="s">
        <v>12</v>
      </c>
      <c r="I5" s="144">
        <f>7943193.72</f>
        <v>7943193.7199999997</v>
      </c>
      <c r="J5" s="33">
        <f>I5</f>
        <v>7943193.7199999997</v>
      </c>
      <c r="K5" s="33">
        <f>ЗП!E20</f>
        <v>5926535.9999999991</v>
      </c>
      <c r="L5" s="33">
        <f>ЗП!E21</f>
        <v>2016657.7199999997</v>
      </c>
      <c r="M5" s="33">
        <v>0</v>
      </c>
      <c r="N5" s="265">
        <f>K5+L5</f>
        <v>7943193.7199999988</v>
      </c>
      <c r="O5" s="266">
        <f>J5-N5</f>
        <v>0</v>
      </c>
      <c r="P5" s="213">
        <f>I7/I5</f>
        <v>0.30199999956692486</v>
      </c>
      <c r="Q5" s="213"/>
      <c r="R5" s="16"/>
      <c r="S5" s="17"/>
      <c r="T5" s="18"/>
      <c r="U5" s="18"/>
      <c r="V5" s="15"/>
    </row>
    <row r="6" spans="1:22" s="10" customFormat="1" ht="13.5" customHeight="1" x14ac:dyDescent="0.2">
      <c r="A6" s="5"/>
      <c r="B6" s="20" t="s">
        <v>10</v>
      </c>
      <c r="C6" s="20" t="s">
        <v>11</v>
      </c>
      <c r="D6" s="13" t="s">
        <v>186</v>
      </c>
      <c r="E6" s="14">
        <v>112</v>
      </c>
      <c r="F6" s="21">
        <v>214</v>
      </c>
      <c r="G6" s="14">
        <v>120</v>
      </c>
      <c r="H6" s="21" t="s">
        <v>12</v>
      </c>
      <c r="I6" s="144">
        <f>166026.2+66685.65</f>
        <v>232711.85</v>
      </c>
      <c r="J6" s="33">
        <f>I6</f>
        <v>232711.85</v>
      </c>
      <c r="K6" s="33">
        <v>0</v>
      </c>
      <c r="L6" s="33">
        <f>J6</f>
        <v>232711.85</v>
      </c>
      <c r="M6" s="33">
        <v>0</v>
      </c>
      <c r="N6" s="265">
        <f t="shared" ref="N6:N26" si="0">K6+L6</f>
        <v>232711.85</v>
      </c>
      <c r="O6" s="266">
        <f t="shared" ref="O6:O10" si="1">J6-N6</f>
        <v>0</v>
      </c>
      <c r="P6" s="214"/>
      <c r="Q6" s="215"/>
      <c r="R6" s="24"/>
      <c r="S6" s="24"/>
      <c r="T6" s="24"/>
      <c r="U6" s="24"/>
      <c r="V6" s="24"/>
    </row>
    <row r="7" spans="1:22" s="10" customFormat="1" ht="13.5" customHeight="1" x14ac:dyDescent="0.2">
      <c r="A7" s="5"/>
      <c r="B7" s="20" t="s">
        <v>10</v>
      </c>
      <c r="C7" s="20" t="s">
        <v>11</v>
      </c>
      <c r="D7" s="13" t="s">
        <v>186</v>
      </c>
      <c r="E7" s="14">
        <v>119</v>
      </c>
      <c r="F7" s="21">
        <v>213</v>
      </c>
      <c r="G7" s="21">
        <v>130</v>
      </c>
      <c r="H7" s="21" t="s">
        <v>12</v>
      </c>
      <c r="I7" s="144">
        <v>2398844.5</v>
      </c>
      <c r="J7" s="33">
        <f t="shared" ref="J7:J24" si="2">I7</f>
        <v>2398844.5</v>
      </c>
      <c r="K7" s="33">
        <f>K5*P5</f>
        <v>1789813.8694333644</v>
      </c>
      <c r="L7" s="33">
        <f>L5*P5</f>
        <v>609030.63056663563</v>
      </c>
      <c r="M7" s="33">
        <v>0</v>
      </c>
      <c r="N7" s="265">
        <f t="shared" si="0"/>
        <v>2398844.5</v>
      </c>
      <c r="O7" s="266">
        <f t="shared" si="1"/>
        <v>0</v>
      </c>
      <c r="P7" s="214"/>
      <c r="Q7" s="215"/>
      <c r="R7" s="24"/>
      <c r="S7" s="24"/>
      <c r="T7" s="24"/>
      <c r="U7" s="24"/>
      <c r="V7" s="24"/>
    </row>
    <row r="8" spans="1:22" s="10" customFormat="1" ht="13.5" customHeight="1" x14ac:dyDescent="0.2">
      <c r="A8" s="5"/>
      <c r="B8" s="12" t="s">
        <v>10</v>
      </c>
      <c r="C8" s="20" t="s">
        <v>11</v>
      </c>
      <c r="D8" s="13" t="s">
        <v>186</v>
      </c>
      <c r="E8" s="14">
        <v>244</v>
      </c>
      <c r="F8" s="25">
        <v>221</v>
      </c>
      <c r="G8" s="14">
        <v>210</v>
      </c>
      <c r="H8" s="21" t="s">
        <v>12</v>
      </c>
      <c r="I8" s="144">
        <v>42240</v>
      </c>
      <c r="J8" s="33">
        <f t="shared" si="2"/>
        <v>42240</v>
      </c>
      <c r="K8" s="33">
        <v>0</v>
      </c>
      <c r="L8" s="33">
        <f>J8</f>
        <v>42240</v>
      </c>
      <c r="M8" s="33">
        <v>0</v>
      </c>
      <c r="N8" s="265">
        <f t="shared" si="0"/>
        <v>42240</v>
      </c>
      <c r="O8" s="266">
        <f t="shared" si="1"/>
        <v>0</v>
      </c>
      <c r="P8" s="217"/>
      <c r="Q8" s="215"/>
      <c r="R8" s="24"/>
      <c r="S8" s="24"/>
      <c r="T8" s="24"/>
      <c r="U8" s="24"/>
      <c r="V8" s="24"/>
    </row>
    <row r="9" spans="1:22" s="10" customFormat="1" ht="13.5" customHeight="1" x14ac:dyDescent="0.2">
      <c r="A9" s="5"/>
      <c r="B9" s="20" t="s">
        <v>10</v>
      </c>
      <c r="C9" s="20" t="s">
        <v>11</v>
      </c>
      <c r="D9" s="13" t="s">
        <v>186</v>
      </c>
      <c r="E9" s="14">
        <v>244</v>
      </c>
      <c r="F9" s="25">
        <v>222</v>
      </c>
      <c r="G9" s="14">
        <v>220</v>
      </c>
      <c r="H9" s="21" t="s">
        <v>12</v>
      </c>
      <c r="I9" s="144">
        <v>0</v>
      </c>
      <c r="J9" s="33">
        <f>I9</f>
        <v>0</v>
      </c>
      <c r="K9" s="33">
        <v>0</v>
      </c>
      <c r="L9" s="33">
        <f>J9</f>
        <v>0</v>
      </c>
      <c r="M9" s="33">
        <v>0</v>
      </c>
      <c r="N9" s="265">
        <f t="shared" si="0"/>
        <v>0</v>
      </c>
      <c r="O9" s="266">
        <f t="shared" si="1"/>
        <v>0</v>
      </c>
      <c r="P9" s="217"/>
      <c r="Q9" s="215"/>
      <c r="R9" s="24"/>
      <c r="S9" s="24"/>
      <c r="T9" s="24"/>
      <c r="U9" s="24"/>
      <c r="V9" s="24"/>
    </row>
    <row r="10" spans="1:22" s="10" customFormat="1" ht="13.5" customHeight="1" x14ac:dyDescent="0.2">
      <c r="A10" s="5"/>
      <c r="B10" s="20" t="s">
        <v>10</v>
      </c>
      <c r="C10" s="20" t="s">
        <v>11</v>
      </c>
      <c r="D10" s="13" t="s">
        <v>186</v>
      </c>
      <c r="E10" s="14">
        <v>244</v>
      </c>
      <c r="F10" s="25">
        <v>223</v>
      </c>
      <c r="G10" s="14">
        <v>231</v>
      </c>
      <c r="H10" s="21" t="s">
        <v>12</v>
      </c>
      <c r="I10" s="144">
        <v>735794.81</v>
      </c>
      <c r="J10" s="33">
        <f>I10-M10</f>
        <v>367897.40500000003</v>
      </c>
      <c r="K10" s="33">
        <v>0</v>
      </c>
      <c r="L10" s="33">
        <f>I10-M10</f>
        <v>367897.40500000003</v>
      </c>
      <c r="M10" s="33">
        <f>I10*50%</f>
        <v>367897.40500000003</v>
      </c>
      <c r="N10" s="265">
        <f t="shared" si="0"/>
        <v>367897.40500000003</v>
      </c>
      <c r="O10" s="266">
        <f t="shared" si="1"/>
        <v>0</v>
      </c>
      <c r="P10" s="217">
        <v>50</v>
      </c>
      <c r="Q10" s="215"/>
      <c r="R10" s="24"/>
      <c r="S10" s="24"/>
      <c r="T10" s="24"/>
      <c r="U10" s="24"/>
      <c r="V10" s="24"/>
    </row>
    <row r="11" spans="1:22" s="10" customFormat="1" ht="13.5" customHeight="1" x14ac:dyDescent="0.2">
      <c r="A11" s="5"/>
      <c r="B11" s="12" t="s">
        <v>10</v>
      </c>
      <c r="C11" s="20" t="s">
        <v>11</v>
      </c>
      <c r="D11" s="13" t="s">
        <v>186</v>
      </c>
      <c r="E11" s="14">
        <v>244</v>
      </c>
      <c r="F11" s="25">
        <v>223</v>
      </c>
      <c r="G11" s="14">
        <v>232</v>
      </c>
      <c r="H11" s="21" t="s">
        <v>12</v>
      </c>
      <c r="I11" s="144">
        <v>171360.68</v>
      </c>
      <c r="J11" s="33">
        <f>I11-M11</f>
        <v>154224.61199999999</v>
      </c>
      <c r="K11" s="33">
        <v>0</v>
      </c>
      <c r="L11" s="33">
        <f>I11-M11</f>
        <v>154224.61199999999</v>
      </c>
      <c r="M11" s="33">
        <f>I11*10%</f>
        <v>17136.067999999999</v>
      </c>
      <c r="N11" s="265">
        <f t="shared" si="0"/>
        <v>154224.61199999999</v>
      </c>
      <c r="O11" s="214">
        <v>90</v>
      </c>
      <c r="P11" s="217">
        <v>10</v>
      </c>
      <c r="Q11" s="215"/>
      <c r="R11" s="24"/>
      <c r="S11" s="24"/>
      <c r="T11" s="24"/>
      <c r="U11" s="24"/>
      <c r="V11" s="24"/>
    </row>
    <row r="12" spans="1:22" s="10" customFormat="1" ht="13.5" customHeight="1" x14ac:dyDescent="0.2">
      <c r="A12" s="5"/>
      <c r="B12" s="20" t="s">
        <v>10</v>
      </c>
      <c r="C12" s="20" t="s">
        <v>11</v>
      </c>
      <c r="D12" s="13" t="s">
        <v>186</v>
      </c>
      <c r="E12" s="14">
        <v>244</v>
      </c>
      <c r="F12" s="25">
        <v>223</v>
      </c>
      <c r="G12" s="14">
        <v>233</v>
      </c>
      <c r="H12" s="21" t="s">
        <v>12</v>
      </c>
      <c r="I12" s="144">
        <v>0</v>
      </c>
      <c r="J12" s="33">
        <f t="shared" si="2"/>
        <v>0</v>
      </c>
      <c r="K12" s="33">
        <v>0</v>
      </c>
      <c r="L12" s="33">
        <f>J12</f>
        <v>0</v>
      </c>
      <c r="M12" s="33">
        <v>0</v>
      </c>
      <c r="N12" s="265">
        <f t="shared" si="0"/>
        <v>0</v>
      </c>
      <c r="O12" s="214"/>
      <c r="P12" s="217"/>
      <c r="Q12" s="215"/>
      <c r="R12" s="24"/>
      <c r="S12" s="24"/>
      <c r="T12" s="24"/>
      <c r="U12" s="24"/>
      <c r="V12" s="24"/>
    </row>
    <row r="13" spans="1:22" s="10" customFormat="1" ht="13.5" customHeight="1" x14ac:dyDescent="0.2">
      <c r="A13" s="5"/>
      <c r="B13" s="20"/>
      <c r="C13" s="20"/>
      <c r="D13" s="13"/>
      <c r="E13" s="14"/>
      <c r="F13" s="25">
        <v>223</v>
      </c>
      <c r="G13" s="14">
        <v>234</v>
      </c>
      <c r="H13" s="21"/>
      <c r="I13" s="144">
        <v>0</v>
      </c>
      <c r="J13" s="33">
        <f t="shared" si="2"/>
        <v>0</v>
      </c>
      <c r="K13" s="33">
        <v>0</v>
      </c>
      <c r="L13" s="33">
        <f>J13</f>
        <v>0</v>
      </c>
      <c r="M13" s="33">
        <v>0</v>
      </c>
      <c r="N13" s="265">
        <f t="shared" si="0"/>
        <v>0</v>
      </c>
      <c r="O13" s="214"/>
      <c r="P13" s="217"/>
      <c r="Q13" s="215"/>
      <c r="R13" s="24"/>
      <c r="S13" s="24"/>
      <c r="T13" s="24"/>
      <c r="U13" s="24"/>
      <c r="V13" s="24"/>
    </row>
    <row r="14" spans="1:22" s="10" customFormat="1" ht="13.5" customHeight="1" x14ac:dyDescent="0.2">
      <c r="A14" s="5"/>
      <c r="B14" s="20" t="s">
        <v>10</v>
      </c>
      <c r="C14" s="20" t="s">
        <v>11</v>
      </c>
      <c r="D14" s="13" t="s">
        <v>186</v>
      </c>
      <c r="E14" s="14">
        <v>244</v>
      </c>
      <c r="F14" s="25">
        <v>225</v>
      </c>
      <c r="G14" s="14">
        <v>220</v>
      </c>
      <c r="H14" s="21" t="s">
        <v>12</v>
      </c>
      <c r="I14" s="144">
        <f>34725.6+103642.56+24664.08+47369.28+22377.4</f>
        <v>232778.91999999998</v>
      </c>
      <c r="J14" s="33">
        <f t="shared" si="2"/>
        <v>232778.91999999998</v>
      </c>
      <c r="K14" s="33">
        <v>0</v>
      </c>
      <c r="L14" s="33">
        <f>J14</f>
        <v>232778.91999999998</v>
      </c>
      <c r="M14" s="33">
        <v>0</v>
      </c>
      <c r="N14" s="265">
        <f t="shared" si="0"/>
        <v>232778.91999999998</v>
      </c>
      <c r="O14" s="214"/>
      <c r="P14" s="217"/>
      <c r="Q14" s="215"/>
      <c r="R14" s="24"/>
      <c r="S14" s="24"/>
      <c r="T14" s="24"/>
      <c r="U14" s="24"/>
      <c r="V14" s="24"/>
    </row>
    <row r="15" spans="1:22" s="10" customFormat="1" ht="13.5" customHeight="1" x14ac:dyDescent="0.2">
      <c r="A15" s="5"/>
      <c r="B15" s="12" t="s">
        <v>10</v>
      </c>
      <c r="C15" s="20" t="s">
        <v>11</v>
      </c>
      <c r="D15" s="13" t="s">
        <v>186</v>
      </c>
      <c r="E15" s="14">
        <v>244</v>
      </c>
      <c r="F15" s="21">
        <v>225</v>
      </c>
      <c r="G15" s="14">
        <v>255</v>
      </c>
      <c r="H15" s="21" t="s">
        <v>12</v>
      </c>
      <c r="I15" s="144">
        <f>1138305.98</f>
        <v>1138305.98</v>
      </c>
      <c r="J15" s="33">
        <f t="shared" si="2"/>
        <v>1138305.98</v>
      </c>
      <c r="K15" s="33">
        <v>0</v>
      </c>
      <c r="L15" s="33">
        <f>J15-K15</f>
        <v>1138305.98</v>
      </c>
      <c r="M15" s="33">
        <v>0</v>
      </c>
      <c r="N15" s="265">
        <f t="shared" si="0"/>
        <v>1138305.98</v>
      </c>
      <c r="O15" s="214"/>
      <c r="P15" s="217"/>
      <c r="Q15" s="215"/>
      <c r="R15" s="24"/>
      <c r="S15" s="24"/>
      <c r="T15" s="24"/>
      <c r="U15" s="24"/>
      <c r="V15" s="24"/>
    </row>
    <row r="16" spans="1:22" s="10" customFormat="1" ht="13.5" customHeight="1" x14ac:dyDescent="0.2">
      <c r="A16" s="5"/>
      <c r="B16" s="12"/>
      <c r="C16" s="20"/>
      <c r="D16" s="13" t="s">
        <v>187</v>
      </c>
      <c r="E16" s="14">
        <v>244</v>
      </c>
      <c r="F16" s="21">
        <v>226</v>
      </c>
      <c r="G16" s="14">
        <v>263</v>
      </c>
      <c r="H16" s="21" t="s">
        <v>12</v>
      </c>
      <c r="I16" s="144">
        <f>71269+666669.44</f>
        <v>737938.44</v>
      </c>
      <c r="J16" s="33">
        <f>I16</f>
        <v>737938.44</v>
      </c>
      <c r="K16" s="33">
        <v>0</v>
      </c>
      <c r="L16" s="33">
        <f>J16</f>
        <v>737938.44</v>
      </c>
      <c r="M16" s="33">
        <v>0</v>
      </c>
      <c r="N16" s="265">
        <f t="shared" si="0"/>
        <v>737938.44</v>
      </c>
      <c r="O16" s="214"/>
      <c r="P16" s="217"/>
      <c r="Q16" s="215"/>
      <c r="R16" s="24"/>
      <c r="S16" s="24"/>
      <c r="T16" s="24"/>
      <c r="U16" s="24"/>
      <c r="V16" s="24"/>
    </row>
    <row r="17" spans="1:26" s="10" customFormat="1" ht="13.5" customHeight="1" x14ac:dyDescent="0.2">
      <c r="A17" s="5"/>
      <c r="B17" s="20" t="s">
        <v>10</v>
      </c>
      <c r="C17" s="20" t="s">
        <v>11</v>
      </c>
      <c r="D17" s="13" t="s">
        <v>186</v>
      </c>
      <c r="E17" s="14">
        <v>244</v>
      </c>
      <c r="F17" s="21">
        <v>226</v>
      </c>
      <c r="G17" s="14">
        <v>264</v>
      </c>
      <c r="H17" s="21" t="s">
        <v>12</v>
      </c>
      <c r="I17" s="144">
        <v>0</v>
      </c>
      <c r="J17" s="33">
        <f t="shared" si="2"/>
        <v>0</v>
      </c>
      <c r="K17" s="33">
        <v>0</v>
      </c>
      <c r="L17" s="33">
        <f t="shared" ref="L17:L19" si="3">J17</f>
        <v>0</v>
      </c>
      <c r="M17" s="33">
        <v>0</v>
      </c>
      <c r="N17" s="265">
        <f t="shared" si="0"/>
        <v>0</v>
      </c>
      <c r="O17" s="214"/>
      <c r="P17" s="217"/>
      <c r="Q17" s="215"/>
      <c r="R17" s="24"/>
      <c r="S17" s="24"/>
      <c r="T17" s="24"/>
      <c r="U17" s="24"/>
      <c r="V17" s="24"/>
    </row>
    <row r="18" spans="1:26" s="10" customFormat="1" ht="13.5" customHeight="1" x14ac:dyDescent="0.2">
      <c r="A18" s="5"/>
      <c r="B18" s="20" t="s">
        <v>10</v>
      </c>
      <c r="C18" s="20" t="s">
        <v>11</v>
      </c>
      <c r="D18" s="13" t="s">
        <v>186</v>
      </c>
      <c r="E18" s="14">
        <v>244</v>
      </c>
      <c r="F18" s="21">
        <v>227</v>
      </c>
      <c r="G18" s="14">
        <v>0</v>
      </c>
      <c r="H18" s="21" t="s">
        <v>12</v>
      </c>
      <c r="I18" s="144">
        <v>19209.63</v>
      </c>
      <c r="J18" s="33">
        <f t="shared" si="2"/>
        <v>19209.63</v>
      </c>
      <c r="K18" s="33">
        <v>0</v>
      </c>
      <c r="L18" s="33">
        <f>J18-K18</f>
        <v>19209.63</v>
      </c>
      <c r="M18" s="33">
        <v>0</v>
      </c>
      <c r="N18" s="265">
        <f t="shared" si="0"/>
        <v>19209.63</v>
      </c>
      <c r="O18" s="214"/>
      <c r="P18" s="217"/>
      <c r="Q18" s="215"/>
      <c r="R18" s="24"/>
      <c r="S18" s="24"/>
      <c r="T18" s="24"/>
      <c r="U18" s="24"/>
      <c r="V18" s="24"/>
    </row>
    <row r="19" spans="1:26" s="10" customFormat="1" ht="13.5" customHeight="1" x14ac:dyDescent="0.2">
      <c r="A19" s="5"/>
      <c r="B19" s="20" t="s">
        <v>10</v>
      </c>
      <c r="C19" s="20" t="s">
        <v>11</v>
      </c>
      <c r="D19" s="13" t="s">
        <v>186</v>
      </c>
      <c r="E19" s="14">
        <v>244</v>
      </c>
      <c r="F19" s="21">
        <v>226</v>
      </c>
      <c r="G19" s="14">
        <v>266</v>
      </c>
      <c r="H19" s="21" t="s">
        <v>12</v>
      </c>
      <c r="I19" s="144">
        <v>2602</v>
      </c>
      <c r="J19" s="33">
        <f t="shared" si="2"/>
        <v>2602</v>
      </c>
      <c r="K19" s="33">
        <v>0</v>
      </c>
      <c r="L19" s="33">
        <f t="shared" si="3"/>
        <v>2602</v>
      </c>
      <c r="M19" s="33">
        <v>0</v>
      </c>
      <c r="N19" s="265">
        <f t="shared" si="0"/>
        <v>2602</v>
      </c>
      <c r="O19" s="214"/>
      <c r="P19" s="217"/>
      <c r="Q19" s="215"/>
      <c r="R19" s="24"/>
      <c r="S19" s="24"/>
      <c r="T19" s="24"/>
      <c r="U19" s="24"/>
      <c r="V19" s="24"/>
    </row>
    <row r="20" spans="1:26" s="10" customFormat="1" ht="13.5" customHeight="1" x14ac:dyDescent="0.2">
      <c r="A20" s="5"/>
      <c r="B20" s="20" t="s">
        <v>10</v>
      </c>
      <c r="C20" s="20" t="s">
        <v>11</v>
      </c>
      <c r="D20" s="13" t="s">
        <v>186</v>
      </c>
      <c r="E20" s="14">
        <v>244</v>
      </c>
      <c r="F20" s="21">
        <v>226</v>
      </c>
      <c r="G20" s="14">
        <v>267</v>
      </c>
      <c r="H20" s="21" t="s">
        <v>12</v>
      </c>
      <c r="I20" s="144">
        <v>656986</v>
      </c>
      <c r="J20" s="33">
        <f t="shared" si="2"/>
        <v>656986</v>
      </c>
      <c r="K20" s="44">
        <v>0</v>
      </c>
      <c r="L20" s="43">
        <f>J20</f>
        <v>656986</v>
      </c>
      <c r="M20" s="44">
        <v>0</v>
      </c>
      <c r="N20" s="265">
        <f t="shared" si="0"/>
        <v>656986</v>
      </c>
      <c r="O20" s="214"/>
      <c r="P20" s="217"/>
      <c r="Q20" s="215"/>
      <c r="R20" s="24"/>
      <c r="S20" s="24"/>
      <c r="T20" s="24"/>
      <c r="U20" s="24"/>
      <c r="V20" s="24"/>
    </row>
    <row r="21" spans="1:26" s="10" customFormat="1" ht="13.5" customHeight="1" x14ac:dyDescent="0.2">
      <c r="A21" s="5"/>
      <c r="B21" s="20"/>
      <c r="C21" s="20"/>
      <c r="D21" s="13"/>
      <c r="E21" s="14"/>
      <c r="F21" s="21">
        <v>228</v>
      </c>
      <c r="G21" s="14">
        <v>0</v>
      </c>
      <c r="H21" s="21"/>
      <c r="I21" s="144">
        <v>350000</v>
      </c>
      <c r="J21" s="33">
        <f t="shared" si="2"/>
        <v>350000</v>
      </c>
      <c r="K21" s="44">
        <v>0</v>
      </c>
      <c r="L21" s="43">
        <f>J21</f>
        <v>350000</v>
      </c>
      <c r="M21" s="44">
        <v>0</v>
      </c>
      <c r="N21" s="265">
        <f t="shared" si="0"/>
        <v>350000</v>
      </c>
      <c r="O21" s="214"/>
      <c r="P21" s="217"/>
      <c r="Q21" s="215"/>
      <c r="R21" s="24"/>
      <c r="S21" s="24"/>
      <c r="T21" s="24"/>
      <c r="U21" s="24"/>
      <c r="V21" s="24"/>
    </row>
    <row r="22" spans="1:26" s="10" customFormat="1" ht="13.5" customHeight="1" x14ac:dyDescent="0.2">
      <c r="A22" s="5"/>
      <c r="B22" s="20" t="s">
        <v>10</v>
      </c>
      <c r="C22" s="20" t="s">
        <v>11</v>
      </c>
      <c r="D22" s="13" t="s">
        <v>186</v>
      </c>
      <c r="E22" s="14">
        <v>244</v>
      </c>
      <c r="F22" s="14">
        <v>340</v>
      </c>
      <c r="G22" s="14">
        <v>343</v>
      </c>
      <c r="H22" s="21" t="s">
        <v>12</v>
      </c>
      <c r="I22" s="144">
        <v>422208.46</v>
      </c>
      <c r="J22" s="33">
        <f t="shared" si="2"/>
        <v>422208.46</v>
      </c>
      <c r="K22" s="33">
        <f>J22</f>
        <v>422208.46</v>
      </c>
      <c r="L22" s="33">
        <v>0</v>
      </c>
      <c r="M22" s="33">
        <v>0</v>
      </c>
      <c r="N22" s="265">
        <f t="shared" si="0"/>
        <v>422208.46</v>
      </c>
      <c r="O22" s="214"/>
      <c r="P22" s="217"/>
      <c r="Q22" s="215"/>
      <c r="R22" s="24"/>
      <c r="S22" s="24"/>
      <c r="T22" s="24"/>
      <c r="U22" s="24"/>
      <c r="V22" s="24"/>
    </row>
    <row r="23" spans="1:26" s="10" customFormat="1" ht="13.5" customHeight="1" x14ac:dyDescent="0.2">
      <c r="A23" s="5"/>
      <c r="B23" s="20" t="s">
        <v>10</v>
      </c>
      <c r="C23" s="20" t="s">
        <v>11</v>
      </c>
      <c r="D23" s="13" t="s">
        <v>186</v>
      </c>
      <c r="E23" s="14">
        <v>244</v>
      </c>
      <c r="F23" s="14">
        <v>340</v>
      </c>
      <c r="G23" s="14">
        <v>345</v>
      </c>
      <c r="H23" s="21" t="s">
        <v>12</v>
      </c>
      <c r="I23" s="144">
        <f>45408</f>
        <v>45408</v>
      </c>
      <c r="J23" s="33">
        <f t="shared" si="2"/>
        <v>45408</v>
      </c>
      <c r="K23" s="33">
        <f>J23</f>
        <v>45408</v>
      </c>
      <c r="L23" s="33">
        <v>0</v>
      </c>
      <c r="M23" s="33">
        <v>0</v>
      </c>
      <c r="N23" s="265">
        <f t="shared" si="0"/>
        <v>45408</v>
      </c>
      <c r="O23" s="214"/>
      <c r="P23" s="217"/>
      <c r="Q23" s="215"/>
      <c r="R23" s="24"/>
      <c r="S23" s="24"/>
      <c r="T23" s="24"/>
      <c r="U23" s="24"/>
      <c r="V23" s="24"/>
    </row>
    <row r="24" spans="1:26" s="10" customFormat="1" ht="13.5" customHeight="1" x14ac:dyDescent="0.2">
      <c r="A24" s="26"/>
      <c r="B24" s="20" t="s">
        <v>10</v>
      </c>
      <c r="C24" s="20" t="s">
        <v>11</v>
      </c>
      <c r="D24" s="13" t="s">
        <v>186</v>
      </c>
      <c r="E24" s="14">
        <v>244</v>
      </c>
      <c r="F24" s="21">
        <v>340</v>
      </c>
      <c r="G24" s="14">
        <v>346</v>
      </c>
      <c r="H24" s="21" t="s">
        <v>12</v>
      </c>
      <c r="I24" s="144">
        <f>83000+434490.71+16300</f>
        <v>533790.71</v>
      </c>
      <c r="J24" s="33">
        <f t="shared" si="2"/>
        <v>533790.71</v>
      </c>
      <c r="K24" s="33">
        <f>J24-L24</f>
        <v>419399.36084699997</v>
      </c>
      <c r="L24" s="33">
        <f>J24*O24%</f>
        <v>114391.34915299999</v>
      </c>
      <c r="M24" s="33">
        <v>0</v>
      </c>
      <c r="N24" s="265">
        <f t="shared" si="0"/>
        <v>533790.71</v>
      </c>
      <c r="O24" s="214">
        <v>21.43</v>
      </c>
      <c r="P24" s="217">
        <v>78.569999999999993</v>
      </c>
      <c r="Q24" s="215"/>
      <c r="R24" s="24"/>
      <c r="S24" s="24"/>
      <c r="T24" s="24"/>
      <c r="U24" s="24"/>
      <c r="V24" s="24"/>
    </row>
    <row r="25" spans="1:26" s="10" customFormat="1" ht="13.5" customHeight="1" x14ac:dyDescent="0.2">
      <c r="A25" s="5"/>
      <c r="B25" s="20" t="s">
        <v>10</v>
      </c>
      <c r="C25" s="20" t="s">
        <v>11</v>
      </c>
      <c r="D25" s="13" t="s">
        <v>186</v>
      </c>
      <c r="E25" s="14">
        <v>851</v>
      </c>
      <c r="F25" s="21">
        <v>290</v>
      </c>
      <c r="G25" s="14">
        <v>901</v>
      </c>
      <c r="H25" s="21" t="s">
        <v>12</v>
      </c>
      <c r="I25" s="144">
        <v>0</v>
      </c>
      <c r="J25" s="33">
        <f>I25-M25</f>
        <v>0</v>
      </c>
      <c r="K25" s="33">
        <v>0</v>
      </c>
      <c r="L25" s="33">
        <v>0</v>
      </c>
      <c r="M25" s="33">
        <f>I25</f>
        <v>0</v>
      </c>
      <c r="N25" s="265">
        <f t="shared" si="0"/>
        <v>0</v>
      </c>
      <c r="O25" s="214"/>
      <c r="P25" s="217"/>
      <c r="Q25" s="215"/>
      <c r="R25" s="24"/>
      <c r="S25" s="24"/>
      <c r="T25" s="24"/>
      <c r="U25" s="24"/>
      <c r="V25" s="24"/>
    </row>
    <row r="26" spans="1:26" s="10" customFormat="1" ht="12.75" x14ac:dyDescent="0.2">
      <c r="I26" s="27">
        <f>SUM(I5:I25)</f>
        <v>15663373.700000003</v>
      </c>
      <c r="J26" s="259">
        <f>SUM(J5:J25)</f>
        <v>15278340.227000002</v>
      </c>
      <c r="K26" s="27">
        <f t="shared" ref="K26:M26" si="4">SUM(K5:K25)</f>
        <v>8603365.690280363</v>
      </c>
      <c r="L26" s="27">
        <f t="shared" si="4"/>
        <v>6674974.5367196351</v>
      </c>
      <c r="M26" s="259">
        <f t="shared" si="4"/>
        <v>385033.473</v>
      </c>
      <c r="N26" s="265">
        <f t="shared" si="0"/>
        <v>15278340.226999998</v>
      </c>
      <c r="O26" s="216">
        <f>J26+M26</f>
        <v>15663373.700000001</v>
      </c>
      <c r="P26" s="214"/>
      <c r="Q26" s="215"/>
      <c r="R26" s="24"/>
      <c r="S26" s="24"/>
      <c r="T26" s="24"/>
      <c r="U26" s="24"/>
      <c r="V26" s="24"/>
    </row>
    <row r="27" spans="1:26" s="10" customFormat="1" ht="12.75" x14ac:dyDescent="0.2">
      <c r="N27" s="22"/>
      <c r="O27" s="23"/>
      <c r="P27" s="23"/>
      <c r="Q27" s="23"/>
      <c r="R27" s="28"/>
      <c r="S27" s="28"/>
      <c r="T27" s="28"/>
      <c r="U27" s="28"/>
      <c r="V27" s="28"/>
    </row>
    <row r="28" spans="1:26" s="10" customFormat="1" ht="12.75" x14ac:dyDescent="0.2">
      <c r="I28" s="29"/>
      <c r="J28" s="29"/>
      <c r="K28" s="29"/>
      <c r="L28" s="29"/>
      <c r="M28" s="29"/>
      <c r="N28" s="29"/>
      <c r="O28" s="29"/>
    </row>
    <row r="29" spans="1:26" s="10" customFormat="1" ht="12.75" x14ac:dyDescent="0.2">
      <c r="I29" s="29"/>
      <c r="J29" s="29"/>
      <c r="K29" s="29"/>
      <c r="L29" s="29"/>
      <c r="M29" s="29"/>
      <c r="N29" s="29"/>
      <c r="O29" s="29"/>
    </row>
    <row r="30" spans="1:26" s="10" customFormat="1" ht="12.75" x14ac:dyDescent="0.2">
      <c r="A30" s="5"/>
      <c r="B30" s="32"/>
      <c r="C30" s="22"/>
      <c r="D30" s="22"/>
      <c r="E30" s="22"/>
      <c r="F30" s="22"/>
      <c r="G30" s="30"/>
      <c r="H30" s="22"/>
      <c r="I30" s="29"/>
      <c r="Z30" s="31"/>
    </row>
    <row r="31" spans="1:26" x14ac:dyDescent="0.25">
      <c r="I31" s="28"/>
      <c r="J31" s="28"/>
      <c r="K31" s="28"/>
    </row>
  </sheetData>
  <mergeCells count="11">
    <mergeCell ref="M3:M4"/>
    <mergeCell ref="B2:M2"/>
    <mergeCell ref="B3:B4"/>
    <mergeCell ref="C3:C4"/>
    <mergeCell ref="D3:D4"/>
    <mergeCell ref="E3:E4"/>
    <mergeCell ref="F3:F4"/>
    <mergeCell ref="G3:G4"/>
    <mergeCell ref="H3:H4"/>
    <mergeCell ref="I3:I4"/>
    <mergeCell ref="J3:L3"/>
  </mergeCells>
  <pageMargins left="0.31496062992125984" right="0.70866141732283472" top="0.74803149606299213" bottom="0.74803149606299213" header="0.31496062992125984" footer="0.31496062992125984"/>
  <pageSetup paperSize="9" scale="88" fitToHeight="0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2"/>
  <sheetViews>
    <sheetView topLeftCell="A19" zoomScale="70" zoomScaleNormal="70" zoomScaleSheetLayoutView="70" workbookViewId="0">
      <selection activeCell="S30" sqref="S30"/>
    </sheetView>
  </sheetViews>
  <sheetFormatPr defaultRowHeight="15" x14ac:dyDescent="0.25"/>
  <cols>
    <col min="1" max="1" width="6.28515625" customWidth="1"/>
    <col min="2" max="2" width="28.28515625" customWidth="1"/>
    <col min="3" max="3" width="13.140625" customWidth="1"/>
    <col min="4" max="4" width="15" customWidth="1"/>
    <col min="5" max="5" width="17" style="53" customWidth="1"/>
    <col min="6" max="6" width="18.28515625" style="53" customWidth="1"/>
    <col min="7" max="7" width="16.42578125" style="53" customWidth="1"/>
    <col min="8" max="8" width="17.7109375" style="53" customWidth="1"/>
    <col min="9" max="14" width="15" style="152" customWidth="1"/>
    <col min="15" max="15" width="12.42578125" style="158" customWidth="1"/>
    <col min="16" max="16" width="11.5703125" style="158" customWidth="1"/>
    <col min="17" max="17" width="11.85546875" style="158" customWidth="1"/>
  </cols>
  <sheetData>
    <row r="1" spans="1:17" s="45" customFormat="1" ht="11.25" x14ac:dyDescent="0.2">
      <c r="E1" s="149"/>
      <c r="F1" s="149"/>
      <c r="G1" s="149"/>
      <c r="H1" s="149"/>
      <c r="I1" s="149"/>
      <c r="J1" s="149"/>
      <c r="K1" s="149"/>
      <c r="L1" s="149"/>
      <c r="M1" s="149"/>
      <c r="N1" s="150" t="s">
        <v>51</v>
      </c>
      <c r="O1" s="273"/>
      <c r="P1" s="273"/>
      <c r="Q1" s="273"/>
    </row>
    <row r="2" spans="1:17" s="45" customFormat="1" ht="11.25" x14ac:dyDescent="0.2">
      <c r="E2" s="149"/>
      <c r="F2" s="149"/>
      <c r="G2" s="149"/>
      <c r="H2" s="149"/>
      <c r="I2" s="149"/>
      <c r="J2" s="149"/>
      <c r="K2" s="150"/>
      <c r="L2" s="295" t="s">
        <v>52</v>
      </c>
      <c r="M2" s="295"/>
      <c r="N2" s="295"/>
      <c r="O2" s="273"/>
      <c r="P2" s="273"/>
      <c r="Q2" s="273"/>
    </row>
    <row r="3" spans="1:17" s="45" customFormat="1" ht="11.25" x14ac:dyDescent="0.2">
      <c r="E3" s="149"/>
      <c r="F3" s="149"/>
      <c r="G3" s="149"/>
      <c r="H3" s="149"/>
      <c r="I3" s="149"/>
      <c r="J3" s="149"/>
      <c r="K3" s="150"/>
      <c r="L3" s="295" t="s">
        <v>53</v>
      </c>
      <c r="M3" s="295"/>
      <c r="N3" s="295"/>
      <c r="O3" s="273"/>
      <c r="P3" s="273"/>
      <c r="Q3" s="273"/>
    </row>
    <row r="4" spans="1:17" s="45" customFormat="1" ht="11.25" x14ac:dyDescent="0.2">
      <c r="E4" s="149"/>
      <c r="F4" s="149"/>
      <c r="G4" s="149"/>
      <c r="H4" s="149"/>
      <c r="I4" s="149"/>
      <c r="J4" s="149"/>
      <c r="K4" s="295" t="s">
        <v>54</v>
      </c>
      <c r="L4" s="295"/>
      <c r="M4" s="295"/>
      <c r="N4" s="295"/>
      <c r="O4" s="273"/>
      <c r="P4" s="273"/>
      <c r="Q4" s="273"/>
    </row>
    <row r="5" spans="1:17" ht="15.75" customHeight="1" x14ac:dyDescent="0.25">
      <c r="A5" s="296" t="s">
        <v>55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</row>
    <row r="6" spans="1:17" ht="27" customHeight="1" thickBot="1" x14ac:dyDescent="0.3">
      <c r="A6" s="302" t="s">
        <v>171</v>
      </c>
      <c r="B6" s="302"/>
      <c r="C6" s="302"/>
      <c r="D6" s="302"/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7" s="45" customFormat="1" ht="15.75" customHeight="1" thickBot="1" x14ac:dyDescent="0.25">
      <c r="A7" s="297" t="s">
        <v>13</v>
      </c>
      <c r="B7" s="299" t="s">
        <v>56</v>
      </c>
      <c r="C7" s="299" t="s">
        <v>57</v>
      </c>
      <c r="D7" s="301" t="s">
        <v>58</v>
      </c>
      <c r="E7" s="293" t="s">
        <v>59</v>
      </c>
      <c r="F7" s="294"/>
      <c r="G7" s="294"/>
      <c r="H7" s="294"/>
      <c r="I7" s="294"/>
      <c r="J7" s="294"/>
      <c r="K7" s="294"/>
      <c r="L7" s="294"/>
      <c r="M7" s="294"/>
      <c r="N7" s="294"/>
      <c r="O7" s="273"/>
      <c r="P7" s="273"/>
      <c r="Q7" s="273"/>
    </row>
    <row r="8" spans="1:17" s="45" customFormat="1" ht="71.25" customHeight="1" x14ac:dyDescent="0.2">
      <c r="A8" s="298"/>
      <c r="B8" s="300"/>
      <c r="C8" s="300"/>
      <c r="D8" s="300"/>
      <c r="E8" s="304" t="s">
        <v>170</v>
      </c>
      <c r="F8" s="305"/>
      <c r="G8" s="304" t="s">
        <v>167</v>
      </c>
      <c r="H8" s="305"/>
      <c r="I8" s="306" t="s">
        <v>169</v>
      </c>
      <c r="J8" s="307"/>
      <c r="K8" s="306" t="s">
        <v>173</v>
      </c>
      <c r="L8" s="307"/>
      <c r="M8" s="308" t="s">
        <v>168</v>
      </c>
      <c r="N8" s="308"/>
      <c r="O8" s="273"/>
      <c r="P8" s="273"/>
      <c r="Q8" s="273"/>
    </row>
    <row r="9" spans="1:17" s="45" customFormat="1" ht="26.25" customHeight="1" x14ac:dyDescent="0.35">
      <c r="A9" s="298"/>
      <c r="B9" s="300"/>
      <c r="C9" s="300"/>
      <c r="D9" s="300"/>
      <c r="E9" s="151" t="s">
        <v>57</v>
      </c>
      <c r="F9" s="151" t="s">
        <v>60</v>
      </c>
      <c r="G9" s="151" t="s">
        <v>57</v>
      </c>
      <c r="H9" s="151" t="s">
        <v>60</v>
      </c>
      <c r="I9" s="151" t="s">
        <v>57</v>
      </c>
      <c r="J9" s="151" t="s">
        <v>60</v>
      </c>
      <c r="K9" s="151" t="s">
        <v>57</v>
      </c>
      <c r="L9" s="151" t="s">
        <v>60</v>
      </c>
      <c r="M9" s="151" t="s">
        <v>57</v>
      </c>
      <c r="N9" s="151" t="s">
        <v>60</v>
      </c>
      <c r="O9" s="274">
        <v>6</v>
      </c>
      <c r="P9" s="273"/>
      <c r="Q9" s="273"/>
    </row>
    <row r="10" spans="1:17" s="283" customFormat="1" ht="15.75" customHeight="1" x14ac:dyDescent="0.2">
      <c r="A10" s="279">
        <v>1</v>
      </c>
      <c r="B10" s="280">
        <v>2</v>
      </c>
      <c r="C10" s="280">
        <v>3</v>
      </c>
      <c r="D10" s="280">
        <v>4</v>
      </c>
      <c r="E10" s="280">
        <v>5</v>
      </c>
      <c r="F10" s="280">
        <v>6</v>
      </c>
      <c r="G10" s="280">
        <v>7</v>
      </c>
      <c r="H10" s="280">
        <v>8</v>
      </c>
      <c r="I10" s="281">
        <v>9</v>
      </c>
      <c r="J10" s="281">
        <v>10</v>
      </c>
      <c r="K10" s="281">
        <v>11</v>
      </c>
      <c r="L10" s="281">
        <v>12</v>
      </c>
      <c r="M10" s="281">
        <v>13</v>
      </c>
      <c r="N10" s="281">
        <v>14</v>
      </c>
      <c r="O10" s="282"/>
      <c r="P10" s="282"/>
      <c r="Q10" s="282"/>
    </row>
    <row r="11" spans="1:17" s="49" customFormat="1" ht="47.25" x14ac:dyDescent="0.25">
      <c r="A11" s="86">
        <v>1</v>
      </c>
      <c r="B11" s="87" t="s">
        <v>61</v>
      </c>
      <c r="C11" s="88">
        <f>C12</f>
        <v>7.5</v>
      </c>
      <c r="D11" s="88">
        <f>D12</f>
        <v>4444.9016099999999</v>
      </c>
      <c r="E11" s="267">
        <f t="shared" ref="E11:J11" si="0">E12</f>
        <v>6.25E-2</v>
      </c>
      <c r="F11" s="88">
        <f t="shared" si="0"/>
        <v>37.040830499999998</v>
      </c>
      <c r="G11" s="88">
        <f t="shared" si="0"/>
        <v>2.4249999999999998</v>
      </c>
      <c r="H11" s="88">
        <f t="shared" si="0"/>
        <v>1437.2214629999999</v>
      </c>
      <c r="I11" s="88">
        <f t="shared" si="0"/>
        <v>2.1749999999999998</v>
      </c>
      <c r="J11" s="88">
        <f t="shared" si="0"/>
        <v>1289.0214629999998</v>
      </c>
      <c r="K11" s="88">
        <f t="shared" ref="K11" si="1">K12</f>
        <v>0</v>
      </c>
      <c r="L11" s="88">
        <f t="shared" ref="L11" si="2">L12</f>
        <v>0</v>
      </c>
      <c r="M11" s="88">
        <f t="shared" ref="M11" si="3">M12</f>
        <v>2.8375000000000004</v>
      </c>
      <c r="N11" s="88">
        <f t="shared" ref="N11" si="4">N12</f>
        <v>1681.6544534999998</v>
      </c>
      <c r="O11" s="275"/>
      <c r="P11" s="275"/>
      <c r="Q11" s="275"/>
    </row>
    <row r="12" spans="1:17" s="49" customFormat="1" ht="15.75" x14ac:dyDescent="0.25">
      <c r="A12" s="86" t="s">
        <v>62</v>
      </c>
      <c r="B12" s="89" t="s">
        <v>63</v>
      </c>
      <c r="C12" s="88">
        <f>SUM(C13:C20)</f>
        <v>7.5</v>
      </c>
      <c r="D12" s="88">
        <f>SUM(D13:D20)</f>
        <v>4444.9016099999999</v>
      </c>
      <c r="E12" s="267">
        <f>SUM(E13:E20)</f>
        <v>6.25E-2</v>
      </c>
      <c r="F12" s="88">
        <f>SUM(F13:F20)</f>
        <v>37.040830499999998</v>
      </c>
      <c r="G12" s="267">
        <f t="shared" ref="G12:J12" si="5">SUM(G13:G20)</f>
        <v>2.4249999999999998</v>
      </c>
      <c r="H12" s="88">
        <f t="shared" si="5"/>
        <v>1437.2214629999999</v>
      </c>
      <c r="I12" s="267">
        <f>SUM(I13:I20)</f>
        <v>2.1749999999999998</v>
      </c>
      <c r="J12" s="88">
        <f t="shared" si="5"/>
        <v>1289.0214629999998</v>
      </c>
      <c r="K12" s="267">
        <f>SUM(K13:K20)</f>
        <v>0</v>
      </c>
      <c r="L12" s="88">
        <f t="shared" ref="L12" si="6">SUM(L13:L20)</f>
        <v>0</v>
      </c>
      <c r="M12" s="267">
        <f>SUM(M13:M20)</f>
        <v>2.8375000000000004</v>
      </c>
      <c r="N12" s="88">
        <f t="shared" ref="N12" si="7">SUM(N13:N20)</f>
        <v>1681.6544534999998</v>
      </c>
      <c r="O12" s="276">
        <f>N12+J12+H12+F12</f>
        <v>4444.9382099999993</v>
      </c>
      <c r="P12" s="275"/>
      <c r="Q12" s="276">
        <f>D12-O12</f>
        <v>-3.6599999999452848E-2</v>
      </c>
    </row>
    <row r="13" spans="1:17" s="158" customFormat="1" ht="15.75" hidden="1" x14ac:dyDescent="0.25">
      <c r="A13" s="159"/>
      <c r="B13" s="160" t="s">
        <v>21</v>
      </c>
      <c r="C13" s="161">
        <v>0</v>
      </c>
      <c r="D13" s="162">
        <f>ЗП!D9/1000</f>
        <v>0</v>
      </c>
      <c r="E13" s="268">
        <f>C13/6</f>
        <v>0</v>
      </c>
      <c r="F13" s="163">
        <f>D13/6</f>
        <v>0</v>
      </c>
      <c r="G13" s="268">
        <f>C13/6</f>
        <v>0</v>
      </c>
      <c r="H13" s="163">
        <f>D13/6</f>
        <v>0</v>
      </c>
      <c r="I13" s="268">
        <f>C13/6</f>
        <v>0</v>
      </c>
      <c r="J13" s="163">
        <f>D13/$O$9</f>
        <v>0</v>
      </c>
      <c r="K13" s="268">
        <f>C13/6</f>
        <v>0</v>
      </c>
      <c r="L13" s="163">
        <f>D13/6</f>
        <v>0</v>
      </c>
      <c r="M13" s="268">
        <f>C13/6</f>
        <v>0</v>
      </c>
      <c r="N13" s="163">
        <f>D13/6</f>
        <v>0</v>
      </c>
      <c r="O13" s="276">
        <f t="shared" ref="O13:O23" si="8">N13+J13+H13+F13</f>
        <v>0</v>
      </c>
      <c r="P13" s="277">
        <f t="shared" ref="P13:P15" si="9">N13+L13+J13+H13+F13</f>
        <v>0</v>
      </c>
      <c r="Q13" s="276">
        <f t="shared" ref="Q13:Q47" si="10">D13-O13</f>
        <v>0</v>
      </c>
    </row>
    <row r="14" spans="1:17" s="158" customFormat="1" ht="15.75" hidden="1" x14ac:dyDescent="0.25">
      <c r="A14" s="159"/>
      <c r="B14" s="164" t="s">
        <v>183</v>
      </c>
      <c r="C14" s="161">
        <v>0</v>
      </c>
      <c r="D14" s="162">
        <f>ЗП!D10/1000</f>
        <v>0</v>
      </c>
      <c r="E14" s="268">
        <f t="shared" ref="E14:E17" si="11">C14/6</f>
        <v>0</v>
      </c>
      <c r="F14" s="163">
        <f t="shared" ref="F14:F17" si="12">D14/6</f>
        <v>0</v>
      </c>
      <c r="G14" s="268">
        <f t="shared" ref="G14:G17" si="13">C14/6</f>
        <v>0</v>
      </c>
      <c r="H14" s="163">
        <f t="shared" ref="H14:H17" si="14">D14/6</f>
        <v>0</v>
      </c>
      <c r="I14" s="268">
        <f t="shared" ref="I14:I17" si="15">C14/6</f>
        <v>0</v>
      </c>
      <c r="J14" s="163">
        <f>D14/$O$9</f>
        <v>0</v>
      </c>
      <c r="K14" s="268">
        <f t="shared" ref="K14:K17" si="16">C14/6</f>
        <v>0</v>
      </c>
      <c r="L14" s="163">
        <f t="shared" ref="L14:L17" si="17">D14/6</f>
        <v>0</v>
      </c>
      <c r="M14" s="268">
        <f t="shared" ref="M14:M17" si="18">C14/6</f>
        <v>0</v>
      </c>
      <c r="N14" s="163">
        <f t="shared" ref="N14:N17" si="19">D14/6</f>
        <v>0</v>
      </c>
      <c r="O14" s="276">
        <f t="shared" si="8"/>
        <v>0</v>
      </c>
      <c r="P14" s="277">
        <f t="shared" si="9"/>
        <v>0</v>
      </c>
      <c r="Q14" s="276">
        <f t="shared" si="10"/>
        <v>0</v>
      </c>
    </row>
    <row r="15" spans="1:17" s="158" customFormat="1" ht="15.75" hidden="1" x14ac:dyDescent="0.25">
      <c r="A15" s="159"/>
      <c r="B15" s="164" t="s">
        <v>22</v>
      </c>
      <c r="C15" s="161">
        <v>0</v>
      </c>
      <c r="D15" s="162">
        <f>ЗП!D11/1000</f>
        <v>0</v>
      </c>
      <c r="E15" s="268">
        <f t="shared" si="11"/>
        <v>0</v>
      </c>
      <c r="F15" s="163">
        <f t="shared" si="12"/>
        <v>0</v>
      </c>
      <c r="G15" s="268">
        <f t="shared" si="13"/>
        <v>0</v>
      </c>
      <c r="H15" s="163">
        <f t="shared" si="14"/>
        <v>0</v>
      </c>
      <c r="I15" s="268">
        <f t="shared" si="15"/>
        <v>0</v>
      </c>
      <c r="J15" s="163">
        <v>0</v>
      </c>
      <c r="K15" s="268">
        <f t="shared" si="16"/>
        <v>0</v>
      </c>
      <c r="L15" s="163">
        <f t="shared" si="17"/>
        <v>0</v>
      </c>
      <c r="M15" s="268">
        <f t="shared" si="18"/>
        <v>0</v>
      </c>
      <c r="N15" s="163">
        <f t="shared" si="19"/>
        <v>0</v>
      </c>
      <c r="O15" s="276">
        <f t="shared" si="8"/>
        <v>0</v>
      </c>
      <c r="P15" s="277">
        <f t="shared" si="9"/>
        <v>0</v>
      </c>
      <c r="Q15" s="276">
        <f t="shared" si="10"/>
        <v>0</v>
      </c>
    </row>
    <row r="16" spans="1:17" s="158" customFormat="1" ht="15.75" x14ac:dyDescent="0.25">
      <c r="A16" s="159"/>
      <c r="B16" s="164" t="s">
        <v>23</v>
      </c>
      <c r="C16" s="161">
        <v>0.25</v>
      </c>
      <c r="D16" s="162">
        <f>ЗП!D12/1000</f>
        <v>148.1634</v>
      </c>
      <c r="E16" s="268">
        <f>C16*5%</f>
        <v>1.2500000000000001E-2</v>
      </c>
      <c r="F16" s="163">
        <f>D16*5%</f>
        <v>7.4081700000000001</v>
      </c>
      <c r="G16" s="268">
        <f>C16*30%</f>
        <v>7.4999999999999997E-2</v>
      </c>
      <c r="H16" s="163">
        <f>D16*30%</f>
        <v>44.449019999999997</v>
      </c>
      <c r="I16" s="268">
        <f>C16*30%</f>
        <v>7.4999999999999997E-2</v>
      </c>
      <c r="J16" s="163">
        <f>D16*30%</f>
        <v>44.449019999999997</v>
      </c>
      <c r="K16" s="268">
        <v>0</v>
      </c>
      <c r="L16" s="163">
        <v>0</v>
      </c>
      <c r="M16" s="268">
        <f>C16*35%</f>
        <v>8.7499999999999994E-2</v>
      </c>
      <c r="N16" s="163">
        <f>D16*35%</f>
        <v>51.857189999999996</v>
      </c>
      <c r="O16" s="276">
        <f t="shared" si="8"/>
        <v>148.1634</v>
      </c>
      <c r="P16" s="277"/>
      <c r="Q16" s="276">
        <f t="shared" si="10"/>
        <v>0</v>
      </c>
    </row>
    <row r="17" spans="1:17" s="158" customFormat="1" ht="15.75" hidden="1" x14ac:dyDescent="0.25">
      <c r="A17" s="159"/>
      <c r="B17" s="164" t="s">
        <v>24</v>
      </c>
      <c r="C17" s="161">
        <v>0</v>
      </c>
      <c r="D17" s="162">
        <f>ЗП!D13/1000</f>
        <v>0</v>
      </c>
      <c r="E17" s="268">
        <f t="shared" si="11"/>
        <v>0</v>
      </c>
      <c r="F17" s="163">
        <f t="shared" si="12"/>
        <v>0</v>
      </c>
      <c r="G17" s="268">
        <f t="shared" si="13"/>
        <v>0</v>
      </c>
      <c r="H17" s="163">
        <f t="shared" si="14"/>
        <v>0</v>
      </c>
      <c r="I17" s="268">
        <f t="shared" si="15"/>
        <v>0</v>
      </c>
      <c r="J17" s="163">
        <f>D17/$O$9</f>
        <v>0</v>
      </c>
      <c r="K17" s="268">
        <f t="shared" si="16"/>
        <v>0</v>
      </c>
      <c r="L17" s="163">
        <f t="shared" si="17"/>
        <v>0</v>
      </c>
      <c r="M17" s="268">
        <f t="shared" si="18"/>
        <v>0</v>
      </c>
      <c r="N17" s="163">
        <f t="shared" si="19"/>
        <v>0</v>
      </c>
      <c r="O17" s="276">
        <f t="shared" si="8"/>
        <v>0</v>
      </c>
      <c r="P17" s="277"/>
      <c r="Q17" s="276">
        <f t="shared" si="10"/>
        <v>0</v>
      </c>
    </row>
    <row r="18" spans="1:17" s="158" customFormat="1" ht="15.75" x14ac:dyDescent="0.25">
      <c r="A18" s="159"/>
      <c r="B18" s="164" t="s">
        <v>25</v>
      </c>
      <c r="C18" s="161">
        <v>0.25</v>
      </c>
      <c r="D18" s="162">
        <f>ЗП!D14/1000</f>
        <v>148.1634</v>
      </c>
      <c r="E18" s="268">
        <v>0</v>
      </c>
      <c r="F18" s="163">
        <v>0</v>
      </c>
      <c r="G18" s="268">
        <v>0.25</v>
      </c>
      <c r="H18" s="163">
        <f>148.2</f>
        <v>148.19999999999999</v>
      </c>
      <c r="I18" s="268">
        <v>0</v>
      </c>
      <c r="J18" s="163">
        <v>0</v>
      </c>
      <c r="K18" s="268">
        <v>0</v>
      </c>
      <c r="L18" s="163">
        <v>0</v>
      </c>
      <c r="M18" s="268">
        <v>0</v>
      </c>
      <c r="N18" s="163">
        <v>0</v>
      </c>
      <c r="O18" s="276">
        <f t="shared" si="8"/>
        <v>148.19999999999999</v>
      </c>
      <c r="P18" s="277"/>
      <c r="Q18" s="276">
        <f>D18-O18</f>
        <v>-3.659999999999286E-2</v>
      </c>
    </row>
    <row r="19" spans="1:17" ht="15.75" x14ac:dyDescent="0.25">
      <c r="A19" s="50"/>
      <c r="B19" s="90" t="s">
        <v>26</v>
      </c>
      <c r="C19" s="271">
        <v>1</v>
      </c>
      <c r="D19" s="91">
        <f>ЗП!D15/1000-(0.39/1000)</f>
        <v>592.65320999999994</v>
      </c>
      <c r="E19" s="185">
        <f>C19*5%</f>
        <v>0.05</v>
      </c>
      <c r="F19" s="185">
        <f>D19*5%</f>
        <v>29.6326605</v>
      </c>
      <c r="G19" s="185">
        <f>C19*30%</f>
        <v>0.3</v>
      </c>
      <c r="H19" s="185">
        <f>D19*30%</f>
        <v>177.79596299999997</v>
      </c>
      <c r="I19" s="185">
        <f>C19*30%</f>
        <v>0.3</v>
      </c>
      <c r="J19" s="185">
        <f>D19*30%</f>
        <v>177.79596299999997</v>
      </c>
      <c r="K19" s="185">
        <v>0</v>
      </c>
      <c r="L19" s="185">
        <v>0</v>
      </c>
      <c r="M19" s="185">
        <f>C19*35%</f>
        <v>0.35</v>
      </c>
      <c r="N19" s="185">
        <f>D19*35%</f>
        <v>207.42862349999996</v>
      </c>
      <c r="O19" s="276">
        <f t="shared" si="8"/>
        <v>592.65320999999994</v>
      </c>
      <c r="P19" s="272"/>
      <c r="Q19" s="276">
        <f t="shared" si="10"/>
        <v>0</v>
      </c>
    </row>
    <row r="20" spans="1:17" ht="15.75" x14ac:dyDescent="0.25">
      <c r="A20" s="50"/>
      <c r="B20" s="90" t="s">
        <v>27</v>
      </c>
      <c r="C20" s="271">
        <v>6</v>
      </c>
      <c r="D20" s="91">
        <f>ЗП!D16/1000</f>
        <v>3555.9215999999997</v>
      </c>
      <c r="E20" s="185">
        <v>0</v>
      </c>
      <c r="F20" s="52">
        <v>0</v>
      </c>
      <c r="G20" s="185">
        <f>C20*30%</f>
        <v>1.7999999999999998</v>
      </c>
      <c r="H20" s="52">
        <f>D20*30%</f>
        <v>1066.7764799999998</v>
      </c>
      <c r="I20" s="185">
        <f>C20*30%</f>
        <v>1.7999999999999998</v>
      </c>
      <c r="J20" s="52">
        <f>D20*30%</f>
        <v>1066.7764799999998</v>
      </c>
      <c r="K20" s="185">
        <v>0</v>
      </c>
      <c r="L20" s="52">
        <v>0</v>
      </c>
      <c r="M20" s="185">
        <f>C20*40%</f>
        <v>2.4000000000000004</v>
      </c>
      <c r="N20" s="52">
        <f>D20*40%</f>
        <v>1422.3686399999999</v>
      </c>
      <c r="O20" s="276">
        <f t="shared" si="8"/>
        <v>3555.9215999999997</v>
      </c>
      <c r="P20" s="272"/>
      <c r="Q20" s="276">
        <f t="shared" si="10"/>
        <v>0</v>
      </c>
    </row>
    <row r="21" spans="1:17" ht="33.75" customHeight="1" x14ac:dyDescent="0.25">
      <c r="A21" s="92"/>
      <c r="B21" s="93" t="s">
        <v>64</v>
      </c>
      <c r="C21" s="94" t="s">
        <v>66</v>
      </c>
      <c r="D21" s="88">
        <f>D12</f>
        <v>4444.9016099999999</v>
      </c>
      <c r="E21" s="88">
        <f>E12</f>
        <v>6.25E-2</v>
      </c>
      <c r="F21" s="88">
        <f>F12</f>
        <v>37.040830499999998</v>
      </c>
      <c r="G21" s="88">
        <f t="shared" ref="G21:J21" si="20">G12</f>
        <v>2.4249999999999998</v>
      </c>
      <c r="H21" s="88">
        <f t="shared" si="20"/>
        <v>1437.2214629999999</v>
      </c>
      <c r="I21" s="88">
        <f t="shared" si="20"/>
        <v>2.1749999999999998</v>
      </c>
      <c r="J21" s="88">
        <f t="shared" si="20"/>
        <v>1289.0214629999998</v>
      </c>
      <c r="K21" s="88">
        <f t="shared" ref="K21:N21" si="21">K12</f>
        <v>0</v>
      </c>
      <c r="L21" s="88">
        <f t="shared" si="21"/>
        <v>0</v>
      </c>
      <c r="M21" s="88">
        <f t="shared" si="21"/>
        <v>2.8375000000000004</v>
      </c>
      <c r="N21" s="88">
        <f t="shared" si="21"/>
        <v>1681.6544534999998</v>
      </c>
      <c r="O21" s="276">
        <f t="shared" si="8"/>
        <v>4444.9382099999993</v>
      </c>
      <c r="P21" s="272"/>
      <c r="Q21" s="276">
        <f t="shared" si="10"/>
        <v>-3.6599999999452848E-2</v>
      </c>
    </row>
    <row r="22" spans="1:17" s="192" customFormat="1" ht="47.25" x14ac:dyDescent="0.25">
      <c r="A22" s="199"/>
      <c r="B22" s="200" t="s">
        <v>65</v>
      </c>
      <c r="C22" s="201" t="s">
        <v>66</v>
      </c>
      <c r="D22" s="202">
        <f>D21*30%</f>
        <v>1333.4704829999998</v>
      </c>
      <c r="E22" s="201" t="s">
        <v>66</v>
      </c>
      <c r="F22" s="202">
        <f>F21*30.2%-5</f>
        <v>6.1863308109999995</v>
      </c>
      <c r="G22" s="201" t="s">
        <v>66</v>
      </c>
      <c r="H22" s="202">
        <f>H21*30.2%-15</f>
        <v>419.04088182599992</v>
      </c>
      <c r="I22" s="201" t="s">
        <v>66</v>
      </c>
      <c r="J22" s="202">
        <f>H22</f>
        <v>419.04088182599992</v>
      </c>
      <c r="K22" s="201" t="s">
        <v>66</v>
      </c>
      <c r="L22" s="202">
        <v>0</v>
      </c>
      <c r="M22" s="201" t="s">
        <v>66</v>
      </c>
      <c r="N22" s="202">
        <f>N21*30.2%-18.7</f>
        <v>489.15964495699995</v>
      </c>
      <c r="O22" s="276">
        <f t="shared" si="8"/>
        <v>1333.4277394199999</v>
      </c>
      <c r="P22" s="272"/>
      <c r="Q22" s="276">
        <f t="shared" si="10"/>
        <v>4.2743579999978465E-2</v>
      </c>
    </row>
    <row r="23" spans="1:17" ht="31.5" x14ac:dyDescent="0.25">
      <c r="A23" s="92"/>
      <c r="B23" s="93" t="s">
        <v>67</v>
      </c>
      <c r="C23" s="94" t="s">
        <v>66</v>
      </c>
      <c r="D23" s="88">
        <f>D21+D22</f>
        <v>5778.3720929999999</v>
      </c>
      <c r="E23" s="94" t="s">
        <v>66</v>
      </c>
      <c r="F23" s="88">
        <f>F21+F22</f>
        <v>43.227161310999996</v>
      </c>
      <c r="G23" s="94" t="s">
        <v>66</v>
      </c>
      <c r="H23" s="88">
        <f>H21+H22</f>
        <v>1856.2623448259997</v>
      </c>
      <c r="I23" s="94" t="s">
        <v>66</v>
      </c>
      <c r="J23" s="88">
        <f>J21+J22</f>
        <v>1708.0623448259998</v>
      </c>
      <c r="K23" s="94" t="s">
        <v>66</v>
      </c>
      <c r="L23" s="88">
        <f>L21+L22</f>
        <v>0</v>
      </c>
      <c r="M23" s="94" t="s">
        <v>66</v>
      </c>
      <c r="N23" s="88">
        <f>N21+N22</f>
        <v>2170.814098457</v>
      </c>
      <c r="O23" s="276">
        <f t="shared" si="8"/>
        <v>5778.3659494199992</v>
      </c>
      <c r="P23" s="272"/>
      <c r="Q23" s="276">
        <f t="shared" si="10"/>
        <v>6.1435800007529906E-3</v>
      </c>
    </row>
    <row r="24" spans="1:17" s="42" customFormat="1" ht="63" x14ac:dyDescent="0.25">
      <c r="A24" s="86">
        <v>2</v>
      </c>
      <c r="B24" s="95" t="s">
        <v>68</v>
      </c>
      <c r="C24" s="96">
        <f>C25+C31</f>
        <v>5</v>
      </c>
      <c r="D24" s="88">
        <f t="shared" ref="D24:J24" si="22">D25+D31</f>
        <v>3498.2917199999997</v>
      </c>
      <c r="E24" s="88">
        <f t="shared" si="22"/>
        <v>0.4</v>
      </c>
      <c r="F24" s="88">
        <f t="shared" si="22"/>
        <v>344.06618400000002</v>
      </c>
      <c r="G24" s="88">
        <f t="shared" si="22"/>
        <v>2.4</v>
      </c>
      <c r="H24" s="88">
        <f t="shared" si="22"/>
        <v>1529.373384</v>
      </c>
      <c r="I24" s="88">
        <f t="shared" si="22"/>
        <v>0.4</v>
      </c>
      <c r="J24" s="88">
        <f t="shared" si="22"/>
        <v>344.06618400000002</v>
      </c>
      <c r="K24" s="88">
        <f t="shared" ref="K24" si="23">K25+K31</f>
        <v>0.4</v>
      </c>
      <c r="L24" s="88">
        <f t="shared" ref="L24" si="24">L25+L31</f>
        <v>344.06618400000002</v>
      </c>
      <c r="M24" s="88">
        <f t="shared" ref="M24" si="25">M25+M31</f>
        <v>1.4</v>
      </c>
      <c r="N24" s="88">
        <f t="shared" ref="N24" si="26">N25+N31</f>
        <v>936.719784</v>
      </c>
      <c r="O24" s="276">
        <f t="shared" ref="O24:O29" si="27">N24+J24+H24+F24+L24</f>
        <v>3498.2917200000002</v>
      </c>
      <c r="P24" s="272"/>
      <c r="Q24" s="276">
        <f t="shared" si="10"/>
        <v>0</v>
      </c>
    </row>
    <row r="25" spans="1:17" s="158" customFormat="1" ht="15.75" x14ac:dyDescent="0.25">
      <c r="A25" s="154" t="s">
        <v>69</v>
      </c>
      <c r="B25" s="155" t="s">
        <v>70</v>
      </c>
      <c r="C25" s="156">
        <f>SUM(C26:C30)</f>
        <v>2</v>
      </c>
      <c r="D25" s="157">
        <f>D26+D27+D28+D29+D30</f>
        <v>1720.3309199999999</v>
      </c>
      <c r="E25" s="157">
        <f>SUM(E26:E30)</f>
        <v>0.4</v>
      </c>
      <c r="F25" s="157">
        <f>SUM(F26:F30)</f>
        <v>344.06618400000002</v>
      </c>
      <c r="G25" s="157">
        <f t="shared" ref="G25:N25" si="28">SUM(G26:G30)</f>
        <v>0.4</v>
      </c>
      <c r="H25" s="157">
        <f t="shared" si="28"/>
        <v>344.06618400000002</v>
      </c>
      <c r="I25" s="157">
        <f t="shared" si="28"/>
        <v>0.4</v>
      </c>
      <c r="J25" s="157">
        <f t="shared" si="28"/>
        <v>344.06618400000002</v>
      </c>
      <c r="K25" s="157">
        <f t="shared" si="28"/>
        <v>0.4</v>
      </c>
      <c r="L25" s="157">
        <f t="shared" si="28"/>
        <v>344.06618400000002</v>
      </c>
      <c r="M25" s="157">
        <f t="shared" si="28"/>
        <v>0.4</v>
      </c>
      <c r="N25" s="157">
        <f t="shared" si="28"/>
        <v>344.06618400000002</v>
      </c>
      <c r="O25" s="276">
        <f t="shared" si="27"/>
        <v>1720.3309200000001</v>
      </c>
      <c r="P25" s="277"/>
      <c r="Q25" s="276">
        <f t="shared" si="10"/>
        <v>0</v>
      </c>
    </row>
    <row r="26" spans="1:17" ht="15.75" x14ac:dyDescent="0.25">
      <c r="A26" s="50"/>
      <c r="B26" s="97" t="s">
        <v>16</v>
      </c>
      <c r="C26" s="98">
        <v>1</v>
      </c>
      <c r="D26" s="99">
        <f>ЗП!D3/1000</f>
        <v>1123.89156</v>
      </c>
      <c r="E26" s="101">
        <f>C26/5</f>
        <v>0.2</v>
      </c>
      <c r="F26" s="101">
        <f>D26/5</f>
        <v>224.778312</v>
      </c>
      <c r="G26" s="101">
        <f>C26/5</f>
        <v>0.2</v>
      </c>
      <c r="H26" s="101">
        <f>D26/5</f>
        <v>224.778312</v>
      </c>
      <c r="I26" s="101">
        <f>C26/5</f>
        <v>0.2</v>
      </c>
      <c r="J26" s="101">
        <f>D26/5</f>
        <v>224.778312</v>
      </c>
      <c r="K26" s="101">
        <f>C26/5</f>
        <v>0.2</v>
      </c>
      <c r="L26" s="101">
        <f>D26/5</f>
        <v>224.778312</v>
      </c>
      <c r="M26" s="101">
        <f>C26/5</f>
        <v>0.2</v>
      </c>
      <c r="N26" s="101">
        <f>D26/5</f>
        <v>224.778312</v>
      </c>
      <c r="O26" s="276">
        <f t="shared" si="27"/>
        <v>1123.89156</v>
      </c>
      <c r="P26" s="277"/>
      <c r="Q26" s="276">
        <f t="shared" si="10"/>
        <v>0</v>
      </c>
    </row>
    <row r="27" spans="1:17" ht="45" hidden="1" x14ac:dyDescent="0.25">
      <c r="A27" s="50"/>
      <c r="B27" s="97" t="s">
        <v>17</v>
      </c>
      <c r="C27" s="100">
        <v>0</v>
      </c>
      <c r="D27" s="99">
        <f>ЗП!D4/1000</f>
        <v>0</v>
      </c>
      <c r="E27" s="101">
        <f t="shared" ref="E27:E29" si="29">C27/6</f>
        <v>0</v>
      </c>
      <c r="F27" s="101">
        <f t="shared" ref="F27:F29" si="30">D27/6</f>
        <v>0</v>
      </c>
      <c r="G27" s="101">
        <f t="shared" ref="G27:G29" si="31">C27/6</f>
        <v>0</v>
      </c>
      <c r="H27" s="101">
        <f t="shared" ref="H27:H29" si="32">D27/6</f>
        <v>0</v>
      </c>
      <c r="I27" s="101">
        <f t="shared" ref="I27:I29" si="33">C27/6</f>
        <v>0</v>
      </c>
      <c r="J27" s="101">
        <f t="shared" ref="J27:J29" si="34">D27/6</f>
        <v>0</v>
      </c>
      <c r="K27" s="101">
        <f t="shared" ref="K27:K29" si="35">C27/6</f>
        <v>0</v>
      </c>
      <c r="L27" s="101">
        <f t="shared" ref="L27:L29" si="36">D27/6</f>
        <v>0</v>
      </c>
      <c r="M27" s="101">
        <f t="shared" ref="M27:M29" si="37">C27/6</f>
        <v>0</v>
      </c>
      <c r="N27" s="101">
        <f t="shared" ref="N27:N29" si="38">D27/6</f>
        <v>0</v>
      </c>
      <c r="O27" s="276">
        <f t="shared" si="27"/>
        <v>0</v>
      </c>
      <c r="P27" s="277"/>
      <c r="Q27" s="276">
        <f t="shared" si="10"/>
        <v>0</v>
      </c>
    </row>
    <row r="28" spans="1:17" ht="15.75" hidden="1" x14ac:dyDescent="0.25">
      <c r="A28" s="50"/>
      <c r="B28" s="97" t="s">
        <v>18</v>
      </c>
      <c r="C28" s="100">
        <v>0</v>
      </c>
      <c r="D28" s="99">
        <f>ЗП!D5/1000</f>
        <v>0</v>
      </c>
      <c r="E28" s="101">
        <f t="shared" si="29"/>
        <v>0</v>
      </c>
      <c r="F28" s="101">
        <f t="shared" si="30"/>
        <v>0</v>
      </c>
      <c r="G28" s="101">
        <f t="shared" si="31"/>
        <v>0</v>
      </c>
      <c r="H28" s="101">
        <f t="shared" si="32"/>
        <v>0</v>
      </c>
      <c r="I28" s="101">
        <f t="shared" si="33"/>
        <v>0</v>
      </c>
      <c r="J28" s="101">
        <f t="shared" si="34"/>
        <v>0</v>
      </c>
      <c r="K28" s="101">
        <f t="shared" si="35"/>
        <v>0</v>
      </c>
      <c r="L28" s="101">
        <f t="shared" si="36"/>
        <v>0</v>
      </c>
      <c r="M28" s="101">
        <f t="shared" si="37"/>
        <v>0</v>
      </c>
      <c r="N28" s="101">
        <f t="shared" si="38"/>
        <v>0</v>
      </c>
      <c r="O28" s="276">
        <f t="shared" si="27"/>
        <v>0</v>
      </c>
      <c r="P28" s="277"/>
      <c r="Q28" s="276">
        <f t="shared" si="10"/>
        <v>0</v>
      </c>
    </row>
    <row r="29" spans="1:17" ht="15.75" hidden="1" x14ac:dyDescent="0.25">
      <c r="A29" s="50"/>
      <c r="B29" s="97" t="s">
        <v>181</v>
      </c>
      <c r="C29" s="100">
        <v>0</v>
      </c>
      <c r="D29" s="99">
        <f>ЗП!D6/1000</f>
        <v>0</v>
      </c>
      <c r="E29" s="101">
        <f t="shared" si="29"/>
        <v>0</v>
      </c>
      <c r="F29" s="101">
        <f t="shared" si="30"/>
        <v>0</v>
      </c>
      <c r="G29" s="101">
        <f t="shared" si="31"/>
        <v>0</v>
      </c>
      <c r="H29" s="101">
        <f t="shared" si="32"/>
        <v>0</v>
      </c>
      <c r="I29" s="101">
        <f t="shared" si="33"/>
        <v>0</v>
      </c>
      <c r="J29" s="101">
        <f t="shared" si="34"/>
        <v>0</v>
      </c>
      <c r="K29" s="101">
        <f t="shared" si="35"/>
        <v>0</v>
      </c>
      <c r="L29" s="101">
        <f t="shared" si="36"/>
        <v>0</v>
      </c>
      <c r="M29" s="101">
        <f t="shared" si="37"/>
        <v>0</v>
      </c>
      <c r="N29" s="101">
        <f t="shared" si="38"/>
        <v>0</v>
      </c>
      <c r="O29" s="276">
        <f t="shared" si="27"/>
        <v>0</v>
      </c>
      <c r="P29" s="277"/>
      <c r="Q29" s="276">
        <f t="shared" si="10"/>
        <v>0</v>
      </c>
    </row>
    <row r="30" spans="1:17" ht="30" x14ac:dyDescent="0.25">
      <c r="A30" s="50"/>
      <c r="B30" s="97" t="s">
        <v>19</v>
      </c>
      <c r="C30" s="100">
        <v>1</v>
      </c>
      <c r="D30" s="99">
        <f>ЗП!D7/1000</f>
        <v>596.43935999999997</v>
      </c>
      <c r="E30" s="101">
        <f>C30/5</f>
        <v>0.2</v>
      </c>
      <c r="F30" s="101">
        <f>D30/5</f>
        <v>119.28787199999999</v>
      </c>
      <c r="G30" s="101">
        <f>C30/5</f>
        <v>0.2</v>
      </c>
      <c r="H30" s="101">
        <f>D30/5</f>
        <v>119.28787199999999</v>
      </c>
      <c r="I30" s="101">
        <f>C30/5</f>
        <v>0.2</v>
      </c>
      <c r="J30" s="101">
        <f>D30/5</f>
        <v>119.28787199999999</v>
      </c>
      <c r="K30" s="101">
        <f>C30/5</f>
        <v>0.2</v>
      </c>
      <c r="L30" s="101">
        <f>D30/5</f>
        <v>119.28787199999999</v>
      </c>
      <c r="M30" s="101">
        <f>C30/5</f>
        <v>0.2</v>
      </c>
      <c r="N30" s="101">
        <f>D30/5</f>
        <v>119.28787199999999</v>
      </c>
      <c r="O30" s="276">
        <f>N30+J30+H30+F30+L30</f>
        <v>596.43935999999997</v>
      </c>
      <c r="P30" s="277"/>
      <c r="Q30" s="276">
        <f>D30-O30</f>
        <v>0</v>
      </c>
    </row>
    <row r="31" spans="1:17" ht="24" customHeight="1" x14ac:dyDescent="0.25">
      <c r="A31" s="48" t="s">
        <v>71</v>
      </c>
      <c r="B31" s="89" t="s">
        <v>165</v>
      </c>
      <c r="C31" s="109">
        <f>SUM(C32:C43)</f>
        <v>3</v>
      </c>
      <c r="D31" s="88">
        <f>SUM(D32:D43)</f>
        <v>1777.9607999999998</v>
      </c>
      <c r="E31" s="88">
        <f t="shared" ref="E31:J31" si="39">SUM(E32:E43)</f>
        <v>0</v>
      </c>
      <c r="F31" s="88">
        <f t="shared" si="39"/>
        <v>0</v>
      </c>
      <c r="G31" s="88">
        <f t="shared" si="39"/>
        <v>2</v>
      </c>
      <c r="H31" s="88">
        <f t="shared" si="39"/>
        <v>1185.3072</v>
      </c>
      <c r="I31" s="88">
        <f t="shared" si="39"/>
        <v>0</v>
      </c>
      <c r="J31" s="88">
        <f t="shared" si="39"/>
        <v>0</v>
      </c>
      <c r="K31" s="88">
        <f t="shared" ref="K31" si="40">SUM(K32:K43)</f>
        <v>0</v>
      </c>
      <c r="L31" s="88">
        <f t="shared" ref="L31" si="41">SUM(L32:L43)</f>
        <v>0</v>
      </c>
      <c r="M31" s="88">
        <f t="shared" ref="M31" si="42">SUM(M32:M43)</f>
        <v>1</v>
      </c>
      <c r="N31" s="88">
        <f t="shared" ref="N31" si="43">SUM(N32:N43)</f>
        <v>592.65359999999998</v>
      </c>
      <c r="O31" s="276">
        <f t="shared" ref="O31:O47" si="44">N31+J31+H31+F31+L31</f>
        <v>1777.9607999999998</v>
      </c>
      <c r="P31" s="277"/>
      <c r="Q31" s="276">
        <f t="shared" si="10"/>
        <v>0</v>
      </c>
    </row>
    <row r="32" spans="1:17" ht="15.75" hidden="1" x14ac:dyDescent="0.25">
      <c r="A32" s="50"/>
      <c r="B32" s="97" t="s">
        <v>29</v>
      </c>
      <c r="C32" s="55">
        <v>0</v>
      </c>
      <c r="D32" s="101">
        <f>ЗП!D18/1000</f>
        <v>0</v>
      </c>
      <c r="E32" s="52">
        <f>C32/6</f>
        <v>0</v>
      </c>
      <c r="F32" s="52">
        <f>D32/6</f>
        <v>0</v>
      </c>
      <c r="G32" s="52">
        <f>C32/6</f>
        <v>0</v>
      </c>
      <c r="H32" s="52">
        <f>D32/6</f>
        <v>0</v>
      </c>
      <c r="I32" s="52">
        <f>C32/$O$9</f>
        <v>0</v>
      </c>
      <c r="J32" s="52">
        <f>D32/$O$9</f>
        <v>0</v>
      </c>
      <c r="K32" s="52">
        <f>C32/$O$9</f>
        <v>0</v>
      </c>
      <c r="L32" s="52">
        <f>D32/$O$9</f>
        <v>0</v>
      </c>
      <c r="M32" s="52">
        <f>C32/$O$9</f>
        <v>0</v>
      </c>
      <c r="N32" s="52">
        <f>D32/$O$9</f>
        <v>0</v>
      </c>
      <c r="O32" s="276">
        <f t="shared" si="44"/>
        <v>0</v>
      </c>
      <c r="P32" s="277"/>
      <c r="Q32" s="276">
        <f t="shared" si="10"/>
        <v>0</v>
      </c>
    </row>
    <row r="33" spans="1:17" ht="30" hidden="1" x14ac:dyDescent="0.25">
      <c r="A33" s="50"/>
      <c r="B33" s="97" t="s">
        <v>30</v>
      </c>
      <c r="C33" s="51">
        <v>0</v>
      </c>
      <c r="D33" s="101">
        <f>ЗП!D19/1000</f>
        <v>0</v>
      </c>
      <c r="E33" s="52">
        <f t="shared" ref="E33" si="45">C33/6</f>
        <v>0</v>
      </c>
      <c r="F33" s="52">
        <f t="shared" ref="F33" si="46">D33/6</f>
        <v>0</v>
      </c>
      <c r="G33" s="52">
        <f>C33/6</f>
        <v>0</v>
      </c>
      <c r="H33" s="52">
        <f>D33/6</f>
        <v>0</v>
      </c>
      <c r="I33" s="52">
        <f t="shared" ref="I33:I42" si="47">C33/$O$9</f>
        <v>0</v>
      </c>
      <c r="J33" s="52">
        <f t="shared" ref="J33:J42" si="48">D33/$O$9</f>
        <v>0</v>
      </c>
      <c r="K33" s="52">
        <f t="shared" ref="K33:K42" si="49">C33/$O$9</f>
        <v>0</v>
      </c>
      <c r="L33" s="52">
        <f t="shared" ref="L33:L42" si="50">D33/$O$9</f>
        <v>0</v>
      </c>
      <c r="M33" s="52">
        <f t="shared" ref="M33:M42" si="51">C33/$O$9</f>
        <v>0</v>
      </c>
      <c r="N33" s="52">
        <f t="shared" ref="N33:N42" si="52">D33/$O$9</f>
        <v>0</v>
      </c>
      <c r="O33" s="276">
        <f t="shared" si="44"/>
        <v>0</v>
      </c>
      <c r="P33" s="277"/>
      <c r="Q33" s="276">
        <f t="shared" si="10"/>
        <v>0</v>
      </c>
    </row>
    <row r="34" spans="1:17" s="192" customFormat="1" ht="15.75" x14ac:dyDescent="0.25">
      <c r="A34" s="204"/>
      <c r="B34" s="97" t="s">
        <v>31</v>
      </c>
      <c r="C34" s="51">
        <v>2</v>
      </c>
      <c r="D34" s="201">
        <f>ЗП!D20/1000</f>
        <v>1185.3072</v>
      </c>
      <c r="E34" s="201">
        <v>0</v>
      </c>
      <c r="F34" s="201">
        <v>0</v>
      </c>
      <c r="G34" s="201">
        <f>C34/2</f>
        <v>1</v>
      </c>
      <c r="H34" s="201">
        <f>D34/2</f>
        <v>592.65359999999998</v>
      </c>
      <c r="I34" s="201">
        <v>0</v>
      </c>
      <c r="J34" s="201">
        <v>0</v>
      </c>
      <c r="K34" s="201">
        <v>0</v>
      </c>
      <c r="L34" s="201">
        <v>0</v>
      </c>
      <c r="M34" s="201">
        <f t="shared" ref="M34:N35" si="53">C34/2</f>
        <v>1</v>
      </c>
      <c r="N34" s="201">
        <f t="shared" si="53"/>
        <v>592.65359999999998</v>
      </c>
      <c r="O34" s="276">
        <f t="shared" si="44"/>
        <v>1185.3072</v>
      </c>
      <c r="P34" s="269"/>
      <c r="Q34" s="276">
        <f t="shared" si="10"/>
        <v>0</v>
      </c>
    </row>
    <row r="35" spans="1:17" s="192" customFormat="1" ht="15.75" hidden="1" x14ac:dyDescent="0.25">
      <c r="A35" s="204"/>
      <c r="B35" s="97" t="s">
        <v>32</v>
      </c>
      <c r="C35" s="51">
        <v>0</v>
      </c>
      <c r="D35" s="201">
        <f>ЗП!D21/1000</f>
        <v>0</v>
      </c>
      <c r="E35" s="201">
        <v>0</v>
      </c>
      <c r="F35" s="201">
        <v>0</v>
      </c>
      <c r="G35" s="201">
        <f>C35/2</f>
        <v>0</v>
      </c>
      <c r="H35" s="201">
        <f>D35/2</f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f t="shared" si="53"/>
        <v>0</v>
      </c>
      <c r="N35" s="201">
        <f t="shared" si="53"/>
        <v>0</v>
      </c>
      <c r="O35" s="276">
        <f t="shared" si="44"/>
        <v>0</v>
      </c>
      <c r="P35" s="269"/>
      <c r="Q35" s="276">
        <f t="shared" si="10"/>
        <v>0</v>
      </c>
    </row>
    <row r="36" spans="1:17" s="192" customFormat="1" ht="30" x14ac:dyDescent="0.25">
      <c r="A36" s="204"/>
      <c r="B36" s="97" t="s">
        <v>33</v>
      </c>
      <c r="C36" s="51">
        <v>1</v>
      </c>
      <c r="D36" s="201">
        <f>ЗП!D22/1000</f>
        <v>592.65359999999998</v>
      </c>
      <c r="E36" s="201">
        <v>0</v>
      </c>
      <c r="F36" s="201">
        <v>0</v>
      </c>
      <c r="G36" s="201">
        <v>1</v>
      </c>
      <c r="H36" s="201">
        <f>D36/1</f>
        <v>592.65359999999998</v>
      </c>
      <c r="I36" s="201">
        <v>0</v>
      </c>
      <c r="J36" s="201">
        <v>0</v>
      </c>
      <c r="K36" s="201">
        <v>0</v>
      </c>
      <c r="L36" s="201">
        <v>0</v>
      </c>
      <c r="M36" s="201">
        <v>0</v>
      </c>
      <c r="N36" s="201">
        <v>0</v>
      </c>
      <c r="O36" s="276">
        <f t="shared" si="44"/>
        <v>592.65359999999998</v>
      </c>
      <c r="P36" s="269"/>
      <c r="Q36" s="276">
        <f t="shared" si="10"/>
        <v>0</v>
      </c>
    </row>
    <row r="37" spans="1:17" s="192" customFormat="1" ht="15.75" hidden="1" x14ac:dyDescent="0.25">
      <c r="A37" s="204"/>
      <c r="B37" s="97" t="s">
        <v>34</v>
      </c>
      <c r="C37" s="51">
        <v>0</v>
      </c>
      <c r="D37" s="201">
        <f>ЗП!D23/1000</f>
        <v>0</v>
      </c>
      <c r="E37" s="201">
        <f>C37/6</f>
        <v>0</v>
      </c>
      <c r="F37" s="201">
        <f>D37/6</f>
        <v>0</v>
      </c>
      <c r="G37" s="201">
        <f>C37/6</f>
        <v>0</v>
      </c>
      <c r="H37" s="201">
        <f>D37/6</f>
        <v>0</v>
      </c>
      <c r="I37" s="201">
        <f t="shared" si="47"/>
        <v>0</v>
      </c>
      <c r="J37" s="201">
        <f t="shared" si="48"/>
        <v>0</v>
      </c>
      <c r="K37" s="201">
        <f t="shared" si="49"/>
        <v>0</v>
      </c>
      <c r="L37" s="201">
        <f t="shared" si="50"/>
        <v>0</v>
      </c>
      <c r="M37" s="201">
        <f t="shared" si="51"/>
        <v>0</v>
      </c>
      <c r="N37" s="201">
        <f t="shared" si="52"/>
        <v>0</v>
      </c>
      <c r="O37" s="276">
        <f t="shared" si="44"/>
        <v>0</v>
      </c>
      <c r="P37" s="269">
        <f t="shared" ref="P37:P43" si="54">N37+L37+J37+H37+F37</f>
        <v>0</v>
      </c>
      <c r="Q37" s="276">
        <f t="shared" si="10"/>
        <v>0</v>
      </c>
    </row>
    <row r="38" spans="1:17" s="192" customFormat="1" ht="33.75" hidden="1" customHeight="1" x14ac:dyDescent="0.25">
      <c r="A38" s="204"/>
      <c r="B38" s="97" t="s">
        <v>35</v>
      </c>
      <c r="C38" s="51">
        <v>0</v>
      </c>
      <c r="D38" s="201">
        <f>ЗП!D24/1000</f>
        <v>0</v>
      </c>
      <c r="E38" s="201">
        <f t="shared" ref="E38:E39" si="55">C38/6</f>
        <v>0</v>
      </c>
      <c r="F38" s="201">
        <f t="shared" ref="F38:F39" si="56">D38/6</f>
        <v>0</v>
      </c>
      <c r="G38" s="201">
        <f t="shared" ref="G38:G39" si="57">C38/6</f>
        <v>0</v>
      </c>
      <c r="H38" s="201">
        <f t="shared" ref="H38:H39" si="58">D38/6</f>
        <v>0</v>
      </c>
      <c r="I38" s="201">
        <f t="shared" si="47"/>
        <v>0</v>
      </c>
      <c r="J38" s="201">
        <f t="shared" si="48"/>
        <v>0</v>
      </c>
      <c r="K38" s="201">
        <f t="shared" si="49"/>
        <v>0</v>
      </c>
      <c r="L38" s="201">
        <f t="shared" si="50"/>
        <v>0</v>
      </c>
      <c r="M38" s="201">
        <f t="shared" si="51"/>
        <v>0</v>
      </c>
      <c r="N38" s="201">
        <f t="shared" si="52"/>
        <v>0</v>
      </c>
      <c r="O38" s="276">
        <f t="shared" si="44"/>
        <v>0</v>
      </c>
      <c r="P38" s="269">
        <f t="shared" si="54"/>
        <v>0</v>
      </c>
      <c r="Q38" s="276">
        <f t="shared" si="10"/>
        <v>0</v>
      </c>
    </row>
    <row r="39" spans="1:17" s="192" customFormat="1" ht="15.75" hidden="1" x14ac:dyDescent="0.25">
      <c r="A39" s="204"/>
      <c r="B39" s="97" t="s">
        <v>36</v>
      </c>
      <c r="C39" s="51">
        <v>0</v>
      </c>
      <c r="D39" s="201">
        <f>ЗП!D25/1000</f>
        <v>0</v>
      </c>
      <c r="E39" s="201">
        <f t="shared" si="55"/>
        <v>0</v>
      </c>
      <c r="F39" s="201">
        <f t="shared" si="56"/>
        <v>0</v>
      </c>
      <c r="G39" s="201">
        <f t="shared" si="57"/>
        <v>0</v>
      </c>
      <c r="H39" s="201">
        <f t="shared" si="58"/>
        <v>0</v>
      </c>
      <c r="I39" s="201">
        <f t="shared" si="47"/>
        <v>0</v>
      </c>
      <c r="J39" s="201">
        <f t="shared" si="48"/>
        <v>0</v>
      </c>
      <c r="K39" s="201">
        <f t="shared" si="49"/>
        <v>0</v>
      </c>
      <c r="L39" s="201">
        <f t="shared" si="50"/>
        <v>0</v>
      </c>
      <c r="M39" s="201">
        <f t="shared" si="51"/>
        <v>0</v>
      </c>
      <c r="N39" s="201">
        <f t="shared" si="52"/>
        <v>0</v>
      </c>
      <c r="O39" s="276">
        <f t="shared" si="44"/>
        <v>0</v>
      </c>
      <c r="P39" s="269">
        <f t="shared" si="54"/>
        <v>0</v>
      </c>
      <c r="Q39" s="276">
        <f t="shared" si="10"/>
        <v>0</v>
      </c>
    </row>
    <row r="40" spans="1:17" s="192" customFormat="1" ht="15.75" hidden="1" x14ac:dyDescent="0.25">
      <c r="A40" s="199"/>
      <c r="B40" s="97" t="s">
        <v>37</v>
      </c>
      <c r="C40" s="51">
        <v>0</v>
      </c>
      <c r="D40" s="201">
        <f>ЗП!D26/1000</f>
        <v>0</v>
      </c>
      <c r="E40" s="201">
        <f>C40/1</f>
        <v>0</v>
      </c>
      <c r="F40" s="201">
        <f>D40/1</f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76">
        <f t="shared" si="44"/>
        <v>0</v>
      </c>
      <c r="P40" s="269">
        <f t="shared" si="54"/>
        <v>0</v>
      </c>
      <c r="Q40" s="276">
        <f t="shared" si="10"/>
        <v>0</v>
      </c>
    </row>
    <row r="41" spans="1:17" s="192" customFormat="1" ht="15.75" hidden="1" x14ac:dyDescent="0.25">
      <c r="A41" s="199"/>
      <c r="B41" s="97" t="s">
        <v>38</v>
      </c>
      <c r="C41" s="51">
        <v>0</v>
      </c>
      <c r="D41" s="201">
        <f>ЗП!D27/1000</f>
        <v>0</v>
      </c>
      <c r="E41" s="201">
        <f>C41/1</f>
        <v>0</v>
      </c>
      <c r="F41" s="201">
        <f>D41/1</f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0</v>
      </c>
      <c r="M41" s="201">
        <v>0</v>
      </c>
      <c r="N41" s="201">
        <v>0</v>
      </c>
      <c r="O41" s="276">
        <f t="shared" si="44"/>
        <v>0</v>
      </c>
      <c r="P41" s="269">
        <f t="shared" si="54"/>
        <v>0</v>
      </c>
      <c r="Q41" s="276">
        <f t="shared" si="10"/>
        <v>0</v>
      </c>
    </row>
    <row r="42" spans="1:17" s="192" customFormat="1" ht="15.75" hidden="1" x14ac:dyDescent="0.25">
      <c r="A42" s="199"/>
      <c r="B42" s="97" t="s">
        <v>39</v>
      </c>
      <c r="C42" s="51">
        <v>0</v>
      </c>
      <c r="D42" s="201">
        <f>ЗП!D28/1000</f>
        <v>0</v>
      </c>
      <c r="E42" s="201">
        <f>C42/6</f>
        <v>0</v>
      </c>
      <c r="F42" s="201">
        <f>D42/6</f>
        <v>0</v>
      </c>
      <c r="G42" s="201">
        <f>C42/6</f>
        <v>0</v>
      </c>
      <c r="H42" s="201">
        <f>D42/6</f>
        <v>0</v>
      </c>
      <c r="I42" s="201">
        <f t="shared" si="47"/>
        <v>0</v>
      </c>
      <c r="J42" s="201">
        <f t="shared" si="48"/>
        <v>0</v>
      </c>
      <c r="K42" s="201">
        <f t="shared" si="49"/>
        <v>0</v>
      </c>
      <c r="L42" s="201">
        <f t="shared" si="50"/>
        <v>0</v>
      </c>
      <c r="M42" s="201">
        <f t="shared" si="51"/>
        <v>0</v>
      </c>
      <c r="N42" s="201">
        <f t="shared" si="52"/>
        <v>0</v>
      </c>
      <c r="O42" s="276">
        <f t="shared" si="44"/>
        <v>0</v>
      </c>
      <c r="P42" s="269">
        <f t="shared" si="54"/>
        <v>0</v>
      </c>
      <c r="Q42" s="276">
        <f t="shared" si="10"/>
        <v>0</v>
      </c>
    </row>
    <row r="43" spans="1:17" s="192" customFormat="1" ht="15.75" hidden="1" x14ac:dyDescent="0.25">
      <c r="A43" s="199"/>
      <c r="B43" s="97" t="s">
        <v>40</v>
      </c>
      <c r="C43" s="110">
        <v>0</v>
      </c>
      <c r="D43" s="201">
        <f>ЗП!D29/1000</f>
        <v>0</v>
      </c>
      <c r="E43" s="201">
        <f>C43/1</f>
        <v>0</v>
      </c>
      <c r="F43" s="201">
        <f>D43/1</f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76">
        <f t="shared" si="44"/>
        <v>0</v>
      </c>
      <c r="P43" s="269">
        <f t="shared" si="54"/>
        <v>0</v>
      </c>
      <c r="Q43" s="276">
        <f t="shared" si="10"/>
        <v>0</v>
      </c>
    </row>
    <row r="44" spans="1:17" ht="51.75" customHeight="1" x14ac:dyDescent="0.25">
      <c r="A44" s="54"/>
      <c r="B44" s="93" t="s">
        <v>72</v>
      </c>
      <c r="C44" s="102" t="s">
        <v>66</v>
      </c>
      <c r="D44" s="88">
        <f>D25+D31</f>
        <v>3498.2917199999997</v>
      </c>
      <c r="E44" s="88" t="s">
        <v>66</v>
      </c>
      <c r="F44" s="88">
        <f>F25+F31</f>
        <v>344.06618400000002</v>
      </c>
      <c r="G44" s="88" t="s">
        <v>66</v>
      </c>
      <c r="H44" s="88">
        <f>H25+H31</f>
        <v>1529.373384</v>
      </c>
      <c r="I44" s="88" t="s">
        <v>66</v>
      </c>
      <c r="J44" s="88">
        <f>J25+J31</f>
        <v>344.06618400000002</v>
      </c>
      <c r="K44" s="88" t="s">
        <v>66</v>
      </c>
      <c r="L44" s="88">
        <f>L25+L31</f>
        <v>344.06618400000002</v>
      </c>
      <c r="M44" s="88" t="s">
        <v>66</v>
      </c>
      <c r="N44" s="88">
        <f>N25+N31</f>
        <v>936.719784</v>
      </c>
      <c r="O44" s="276">
        <f t="shared" si="44"/>
        <v>3498.2917200000002</v>
      </c>
      <c r="Q44" s="276">
        <f t="shared" si="10"/>
        <v>0</v>
      </c>
    </row>
    <row r="45" spans="1:17" s="192" customFormat="1" ht="66" customHeight="1" x14ac:dyDescent="0.25">
      <c r="A45" s="199"/>
      <c r="B45" s="200" t="s">
        <v>73</v>
      </c>
      <c r="C45" s="205" t="s">
        <v>66</v>
      </c>
      <c r="D45" s="202">
        <f>D44*30%</f>
        <v>1049.4875159999999</v>
      </c>
      <c r="E45" s="202" t="s">
        <v>66</v>
      </c>
      <c r="F45" s="202">
        <f>F44*30%</f>
        <v>103.2198552</v>
      </c>
      <c r="G45" s="202" t="s">
        <v>66</v>
      </c>
      <c r="H45" s="202">
        <f>H44*30%</f>
        <v>458.81201519999996</v>
      </c>
      <c r="I45" s="202" t="s">
        <v>66</v>
      </c>
      <c r="J45" s="202">
        <f>J44*30%</f>
        <v>103.2198552</v>
      </c>
      <c r="K45" s="202" t="s">
        <v>66</v>
      </c>
      <c r="L45" s="202">
        <f>L44*30%</f>
        <v>103.2198552</v>
      </c>
      <c r="M45" s="202" t="s">
        <v>66</v>
      </c>
      <c r="N45" s="202">
        <f>N44*30%</f>
        <v>281.0159352</v>
      </c>
      <c r="O45" s="276">
        <f t="shared" si="44"/>
        <v>1049.4875159999999</v>
      </c>
      <c r="P45" s="278"/>
      <c r="Q45" s="276">
        <f t="shared" si="10"/>
        <v>0</v>
      </c>
    </row>
    <row r="46" spans="1:17" ht="32.25" customHeight="1" x14ac:dyDescent="0.25">
      <c r="A46" s="85"/>
      <c r="B46" s="103" t="s">
        <v>67</v>
      </c>
      <c r="C46" s="104" t="s">
        <v>66</v>
      </c>
      <c r="D46" s="105">
        <f>D44+D45</f>
        <v>4547.7792359999994</v>
      </c>
      <c r="E46" s="105" t="s">
        <v>66</v>
      </c>
      <c r="F46" s="105">
        <f>F44+F45</f>
        <v>447.2860392</v>
      </c>
      <c r="G46" s="105" t="s">
        <v>66</v>
      </c>
      <c r="H46" s="105">
        <f>H44+H45</f>
        <v>1988.1853991999999</v>
      </c>
      <c r="I46" s="105" t="s">
        <v>66</v>
      </c>
      <c r="J46" s="105">
        <f>J44+J45</f>
        <v>447.2860392</v>
      </c>
      <c r="K46" s="105" t="s">
        <v>66</v>
      </c>
      <c r="L46" s="105">
        <f>L44+L45</f>
        <v>447.2860392</v>
      </c>
      <c r="M46" s="88" t="s">
        <v>66</v>
      </c>
      <c r="N46" s="88">
        <f>N44+N45</f>
        <v>1217.7357191999999</v>
      </c>
      <c r="O46" s="276">
        <f t="shared" si="44"/>
        <v>4547.7792360000003</v>
      </c>
      <c r="Q46" s="276">
        <f t="shared" si="10"/>
        <v>0</v>
      </c>
    </row>
    <row r="47" spans="1:17" ht="24" customHeight="1" thickBot="1" x14ac:dyDescent="0.3">
      <c r="A47" s="56"/>
      <c r="B47" s="106" t="s">
        <v>166</v>
      </c>
      <c r="C47" s="108">
        <f>C11+C24</f>
        <v>12.5</v>
      </c>
      <c r="D47" s="107">
        <f>D44+D11</f>
        <v>7943.1933300000001</v>
      </c>
      <c r="E47" s="107">
        <f>E11+E24</f>
        <v>0.46250000000000002</v>
      </c>
      <c r="F47" s="107">
        <f>F44+F11</f>
        <v>381.10701449999999</v>
      </c>
      <c r="G47" s="107">
        <f>G11+G24</f>
        <v>4.8249999999999993</v>
      </c>
      <c r="H47" s="107">
        <f>H44+H11</f>
        <v>2966.5948469999998</v>
      </c>
      <c r="I47" s="107">
        <f>I11+I24</f>
        <v>2.5749999999999997</v>
      </c>
      <c r="J47" s="107">
        <f>J44+J11</f>
        <v>1633.0876469999998</v>
      </c>
      <c r="K47" s="107">
        <f>K11+K24</f>
        <v>0.4</v>
      </c>
      <c r="L47" s="107">
        <f>L44+L11</f>
        <v>344.06618400000002</v>
      </c>
      <c r="M47" s="107">
        <f>M11+M24</f>
        <v>4.2375000000000007</v>
      </c>
      <c r="N47" s="107">
        <f>N44+N11</f>
        <v>2618.3742374999997</v>
      </c>
      <c r="O47" s="276">
        <f t="shared" si="44"/>
        <v>7943.2299299999995</v>
      </c>
      <c r="Q47" s="276">
        <f t="shared" si="10"/>
        <v>-3.6599999999452848E-2</v>
      </c>
    </row>
    <row r="48" spans="1:17" ht="15.75" x14ac:dyDescent="0.25">
      <c r="A48" s="57"/>
      <c r="B48" s="57"/>
      <c r="C48" s="207"/>
      <c r="D48" s="208">
        <f>D22+D45</f>
        <v>2382.9579989999997</v>
      </c>
      <c r="E48" s="209"/>
      <c r="F48" s="208">
        <f>F22+F45</f>
        <v>109.406186011</v>
      </c>
      <c r="G48" s="209"/>
      <c r="H48" s="208">
        <f>H22+H45</f>
        <v>877.85289702599994</v>
      </c>
      <c r="I48" s="210"/>
      <c r="J48" s="208">
        <f>J22+J45</f>
        <v>522.2607370259999</v>
      </c>
      <c r="K48" s="210"/>
      <c r="L48" s="208">
        <f>L22+L45</f>
        <v>103.2198552</v>
      </c>
      <c r="M48" s="210"/>
      <c r="N48" s="208">
        <f>N22+N45</f>
        <v>770.17558015700001</v>
      </c>
    </row>
    <row r="49" spans="1:14" ht="15.75" x14ac:dyDescent="0.25">
      <c r="A49" s="57"/>
      <c r="B49" s="57"/>
      <c r="C49" s="249"/>
      <c r="D49" s="255">
        <f>D47*1000</f>
        <v>7943193.3300000001</v>
      </c>
      <c r="E49" s="251"/>
      <c r="F49" s="250">
        <f>F47+F48</f>
        <v>490.51320051099998</v>
      </c>
      <c r="G49" s="251"/>
      <c r="H49" s="250">
        <f>H47+H48</f>
        <v>3844.4477440259998</v>
      </c>
      <c r="I49" s="252"/>
      <c r="J49" s="250">
        <f>J47+J48</f>
        <v>2155.3483840259996</v>
      </c>
      <c r="K49" s="252"/>
      <c r="L49" s="250">
        <f>L47+L48</f>
        <v>447.2860392</v>
      </c>
      <c r="M49" s="252"/>
      <c r="N49" s="250">
        <f>N47+N48</f>
        <v>3388.5498176569999</v>
      </c>
    </row>
    <row r="50" spans="1:14" ht="15.75" x14ac:dyDescent="0.25">
      <c r="A50" s="57"/>
      <c r="B50" s="57"/>
      <c r="C50" s="249"/>
      <c r="D50" s="256">
        <f>D22+D45</f>
        <v>2382.9579989999997</v>
      </c>
      <c r="E50" s="251"/>
      <c r="F50" s="251"/>
      <c r="G50" s="251"/>
      <c r="H50" s="251"/>
      <c r="I50" s="252"/>
      <c r="J50" s="252"/>
      <c r="K50" s="252"/>
      <c r="L50" s="252"/>
      <c r="M50" s="252"/>
      <c r="N50" s="252"/>
    </row>
    <row r="51" spans="1:14" ht="15.75" x14ac:dyDescent="0.25">
      <c r="A51" s="57"/>
      <c r="B51" s="57"/>
      <c r="C51" s="249"/>
      <c r="D51" s="251"/>
      <c r="E51" s="251"/>
      <c r="F51" s="251"/>
      <c r="G51" s="251"/>
      <c r="H51" s="251"/>
      <c r="I51" s="252"/>
      <c r="J51" s="252"/>
      <c r="K51" s="252"/>
      <c r="L51" s="252"/>
      <c r="M51" s="252"/>
      <c r="N51" s="252"/>
    </row>
    <row r="52" spans="1:14" ht="15.75" x14ac:dyDescent="0.25">
      <c r="A52" s="57"/>
      <c r="B52" s="57"/>
      <c r="C52" s="249"/>
      <c r="D52" s="251"/>
      <c r="E52" s="251" t="e">
        <f>F47+H47+J47+L47+N47+#REF!</f>
        <v>#REF!</v>
      </c>
      <c r="F52" s="251"/>
      <c r="G52" s="251"/>
      <c r="H52" s="251"/>
      <c r="I52" s="252"/>
      <c r="J52" s="252"/>
      <c r="K52" s="252"/>
      <c r="L52" s="252"/>
      <c r="M52" s="252"/>
      <c r="N52" s="252"/>
    </row>
    <row r="53" spans="1:14" ht="15.75" x14ac:dyDescent="0.25">
      <c r="A53" s="57"/>
      <c r="B53" s="57"/>
      <c r="C53" s="249"/>
      <c r="D53" s="251">
        <f>D22+D45</f>
        <v>2382.9579989999997</v>
      </c>
      <c r="E53" s="251" t="e">
        <f>F53+H53+J53+L53+N53+#REF!</f>
        <v>#REF!</v>
      </c>
      <c r="F53" s="251">
        <f t="shared" ref="F53:N53" si="59">F22+F45</f>
        <v>109.406186011</v>
      </c>
      <c r="G53" s="251" t="e">
        <f>G22+G45</f>
        <v>#VALUE!</v>
      </c>
      <c r="H53" s="251">
        <f t="shared" si="59"/>
        <v>877.85289702599994</v>
      </c>
      <c r="I53" s="251" t="e">
        <f t="shared" si="59"/>
        <v>#VALUE!</v>
      </c>
      <c r="J53" s="251">
        <f t="shared" si="59"/>
        <v>522.2607370259999</v>
      </c>
      <c r="K53" s="251" t="e">
        <f t="shared" si="59"/>
        <v>#VALUE!</v>
      </c>
      <c r="L53" s="251">
        <f t="shared" si="59"/>
        <v>103.2198552</v>
      </c>
      <c r="M53" s="251" t="e">
        <f t="shared" si="59"/>
        <v>#VALUE!</v>
      </c>
      <c r="N53" s="251">
        <f t="shared" si="59"/>
        <v>770.17558015700001</v>
      </c>
    </row>
    <row r="54" spans="1:14" x14ac:dyDescent="0.25">
      <c r="C54" s="225"/>
      <c r="D54" s="253">
        <v>3590.8</v>
      </c>
      <c r="E54" s="253">
        <v>3590.8</v>
      </c>
      <c r="F54" s="253"/>
      <c r="G54" s="253"/>
      <c r="H54" s="253"/>
      <c r="I54" s="252"/>
      <c r="J54" s="252"/>
      <c r="K54" s="252"/>
      <c r="L54" s="252"/>
      <c r="M54" s="252"/>
      <c r="N54" s="252"/>
    </row>
    <row r="55" spans="1:14" x14ac:dyDescent="0.25">
      <c r="C55" s="198"/>
      <c r="D55" s="211">
        <f>D54-D53</f>
        <v>1207.8420010000004</v>
      </c>
      <c r="E55" s="211" t="e">
        <f>E53-E54</f>
        <v>#REF!</v>
      </c>
      <c r="F55" s="211"/>
      <c r="G55" s="211"/>
      <c r="H55" s="211"/>
      <c r="I55" s="210"/>
      <c r="J55" s="210"/>
      <c r="K55" s="210"/>
      <c r="L55" s="210"/>
      <c r="M55" s="210"/>
      <c r="N55" s="210"/>
    </row>
    <row r="56" spans="1:14" x14ac:dyDescent="0.25">
      <c r="C56" s="198"/>
      <c r="D56" s="198"/>
      <c r="E56" s="211"/>
      <c r="F56" s="211"/>
      <c r="G56" s="211"/>
      <c r="H56" s="211"/>
      <c r="I56" s="210"/>
      <c r="J56" s="210"/>
      <c r="K56" s="210"/>
      <c r="L56" s="210"/>
      <c r="M56" s="210"/>
      <c r="N56" s="210"/>
    </row>
    <row r="57" spans="1:14" x14ac:dyDescent="0.25">
      <c r="C57" s="198"/>
      <c r="D57" s="198"/>
      <c r="E57" s="211"/>
      <c r="F57" s="211"/>
      <c r="G57" s="211"/>
      <c r="H57" s="211"/>
      <c r="I57" s="210"/>
      <c r="J57" s="210"/>
      <c r="K57" s="210"/>
      <c r="L57" s="210"/>
      <c r="M57" s="210"/>
      <c r="N57" s="210"/>
    </row>
    <row r="58" spans="1:14" x14ac:dyDescent="0.25">
      <c r="C58" s="198"/>
      <c r="D58" s="198"/>
      <c r="E58" s="211"/>
      <c r="F58" s="211"/>
      <c r="G58" s="211"/>
      <c r="H58" s="211"/>
      <c r="I58" s="210"/>
      <c r="J58" s="210"/>
      <c r="K58" s="210"/>
      <c r="L58" s="210"/>
      <c r="M58" s="210"/>
      <c r="N58" s="210"/>
    </row>
    <row r="59" spans="1:14" x14ac:dyDescent="0.25">
      <c r="C59" s="198"/>
      <c r="D59" s="198"/>
      <c r="E59" s="211"/>
      <c r="F59" s="211"/>
      <c r="G59" s="211"/>
      <c r="H59" s="211"/>
      <c r="I59" s="210"/>
      <c r="J59" s="210"/>
      <c r="K59" s="210"/>
      <c r="L59" s="210"/>
      <c r="M59" s="210"/>
      <c r="N59" s="210"/>
    </row>
    <row r="60" spans="1:14" x14ac:dyDescent="0.25">
      <c r="C60" s="198"/>
      <c r="D60" s="198"/>
      <c r="E60" s="211"/>
      <c r="F60" s="211"/>
      <c r="G60" s="211"/>
      <c r="H60" s="211"/>
      <c r="I60" s="210"/>
      <c r="J60" s="210"/>
      <c r="K60" s="210"/>
      <c r="L60" s="210"/>
      <c r="M60" s="210"/>
      <c r="N60" s="210"/>
    </row>
    <row r="61" spans="1:14" x14ac:dyDescent="0.25">
      <c r="C61" s="198"/>
      <c r="D61" s="198"/>
      <c r="E61" s="211"/>
      <c r="F61" s="211"/>
      <c r="G61" s="211"/>
      <c r="H61" s="211"/>
      <c r="I61" s="210"/>
      <c r="J61" s="210"/>
      <c r="K61" s="210"/>
      <c r="L61" s="210"/>
      <c r="M61" s="210"/>
      <c r="N61" s="210"/>
    </row>
    <row r="62" spans="1:14" x14ac:dyDescent="0.25">
      <c r="C62" s="198"/>
      <c r="D62" s="198"/>
      <c r="E62" s="211"/>
      <c r="F62" s="211"/>
      <c r="G62" s="211"/>
      <c r="H62" s="211"/>
      <c r="I62" s="210"/>
      <c r="J62" s="210"/>
      <c r="K62" s="210"/>
      <c r="L62" s="210"/>
      <c r="M62" s="210"/>
      <c r="N62" s="210"/>
    </row>
  </sheetData>
  <mergeCells count="15">
    <mergeCell ref="E7:N7"/>
    <mergeCell ref="L2:N2"/>
    <mergeCell ref="L3:N3"/>
    <mergeCell ref="K4:N4"/>
    <mergeCell ref="A5:N5"/>
    <mergeCell ref="A7:A9"/>
    <mergeCell ref="B7:B9"/>
    <mergeCell ref="C7:C9"/>
    <mergeCell ref="D7:D9"/>
    <mergeCell ref="A6:N6"/>
    <mergeCell ref="E8:F8"/>
    <mergeCell ref="G8:H8"/>
    <mergeCell ref="I8:J8"/>
    <mergeCell ref="K8:L8"/>
    <mergeCell ref="M8:N8"/>
  </mergeCells>
  <pageMargins left="0.25" right="0.25" top="0.75" bottom="0.75" header="0.3" footer="0.3"/>
  <pageSetup paperSize="9" scale="55" fitToHeight="0" orientation="landscape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9"/>
  <sheetViews>
    <sheetView topLeftCell="A61" workbookViewId="0">
      <selection activeCell="C75" sqref="C75"/>
    </sheetView>
  </sheetViews>
  <sheetFormatPr defaultRowHeight="15" x14ac:dyDescent="0.25"/>
  <cols>
    <col min="1" max="1" width="43.42578125" customWidth="1"/>
    <col min="2" max="2" width="12.42578125" customWidth="1"/>
    <col min="3" max="3" width="16.85546875" style="40" customWidth="1"/>
    <col min="4" max="4" width="18.5703125" customWidth="1"/>
    <col min="6" max="6" width="13.28515625" bestFit="1" customWidth="1"/>
    <col min="7" max="7" width="11.5703125" customWidth="1"/>
  </cols>
  <sheetData>
    <row r="1" spans="1:8" s="45" customFormat="1" ht="11.25" customHeight="1" x14ac:dyDescent="0.2">
      <c r="C1" s="61"/>
      <c r="D1" s="46" t="s">
        <v>74</v>
      </c>
    </row>
    <row r="2" spans="1:8" s="45" customFormat="1" ht="11.25" customHeight="1" x14ac:dyDescent="0.2">
      <c r="A2" s="46"/>
      <c r="B2" s="315" t="s">
        <v>52</v>
      </c>
      <c r="C2" s="315"/>
      <c r="D2" s="315"/>
    </row>
    <row r="3" spans="1:8" s="45" customFormat="1" ht="11.25" customHeight="1" x14ac:dyDescent="0.2">
      <c r="A3" s="46"/>
      <c r="B3" s="315" t="s">
        <v>53</v>
      </c>
      <c r="C3" s="315"/>
      <c r="D3" s="315"/>
    </row>
    <row r="4" spans="1:8" s="45" customFormat="1" ht="11.25" customHeight="1" x14ac:dyDescent="0.2">
      <c r="A4" s="315" t="s">
        <v>54</v>
      </c>
      <c r="B4" s="315"/>
      <c r="C4" s="315"/>
      <c r="D4" s="315"/>
    </row>
    <row r="5" spans="1:8" ht="41.25" customHeight="1" x14ac:dyDescent="0.25">
      <c r="A5" s="316" t="s">
        <v>75</v>
      </c>
      <c r="B5" s="316"/>
      <c r="C5" s="316"/>
      <c r="D5" s="316"/>
      <c r="E5" s="62"/>
      <c r="F5" s="62"/>
      <c r="G5" s="62"/>
      <c r="H5" s="62"/>
    </row>
    <row r="6" spans="1:8" ht="15.75" thickBot="1" x14ac:dyDescent="0.3">
      <c r="A6" s="316" t="s">
        <v>208</v>
      </c>
      <c r="B6" s="316"/>
      <c r="C6" s="316"/>
      <c r="D6" s="316"/>
      <c r="E6" s="62"/>
      <c r="F6" s="62"/>
      <c r="G6" s="62"/>
      <c r="H6" s="62"/>
    </row>
    <row r="7" spans="1:8" s="67" customFormat="1" ht="63.75" thickTop="1" x14ac:dyDescent="0.2">
      <c r="A7" s="63" t="s">
        <v>76</v>
      </c>
      <c r="B7" s="64" t="s">
        <v>2</v>
      </c>
      <c r="C7" s="65" t="s">
        <v>77</v>
      </c>
      <c r="D7" s="66" t="s">
        <v>78</v>
      </c>
    </row>
    <row r="8" spans="1:8" s="67" customFormat="1" ht="11.25" x14ac:dyDescent="0.2">
      <c r="A8" s="68">
        <v>1</v>
      </c>
      <c r="B8" s="47">
        <v>2</v>
      </c>
      <c r="C8" s="69">
        <v>3</v>
      </c>
      <c r="D8" s="70">
        <v>4</v>
      </c>
    </row>
    <row r="9" spans="1:8" x14ac:dyDescent="0.25">
      <c r="A9" s="317" t="s">
        <v>79</v>
      </c>
      <c r="B9" s="318"/>
      <c r="C9" s="318"/>
      <c r="D9" s="319"/>
      <c r="E9" s="62"/>
      <c r="F9" s="62"/>
      <c r="G9" s="62"/>
      <c r="H9" s="62"/>
    </row>
    <row r="10" spans="1:8" x14ac:dyDescent="0.25">
      <c r="A10" s="317" t="s">
        <v>80</v>
      </c>
      <c r="B10" s="318"/>
      <c r="C10" s="318"/>
      <c r="D10" s="319"/>
      <c r="E10" s="62"/>
      <c r="F10" s="62"/>
      <c r="G10" s="62"/>
      <c r="H10" s="62"/>
    </row>
    <row r="11" spans="1:8" ht="24.6" customHeight="1" x14ac:dyDescent="0.25">
      <c r="A11" s="317" t="s">
        <v>81</v>
      </c>
      <c r="B11" s="318"/>
      <c r="C11" s="318"/>
      <c r="D11" s="319"/>
      <c r="E11" s="62"/>
      <c r="F11" s="62"/>
      <c r="G11" s="62"/>
      <c r="H11" s="62"/>
    </row>
    <row r="12" spans="1:8" x14ac:dyDescent="0.25">
      <c r="A12" s="139" t="s">
        <v>82</v>
      </c>
      <c r="B12" s="140">
        <v>211</v>
      </c>
      <c r="C12" s="137">
        <f>ГОРЛЕС!K5/1000</f>
        <v>5926.5359999999991</v>
      </c>
      <c r="D12" s="141" t="s">
        <v>66</v>
      </c>
      <c r="E12" s="62"/>
      <c r="F12" s="72"/>
      <c r="G12" s="62"/>
      <c r="H12" s="62"/>
    </row>
    <row r="13" spans="1:8" x14ac:dyDescent="0.25">
      <c r="A13" s="139" t="s">
        <v>83</v>
      </c>
      <c r="B13" s="140">
        <v>213</v>
      </c>
      <c r="C13" s="137">
        <f>ГОРЛЕС!K7/1000</f>
        <v>1789.8138694333643</v>
      </c>
      <c r="D13" s="141" t="s">
        <v>66</v>
      </c>
      <c r="E13" s="62"/>
      <c r="F13" s="72"/>
      <c r="G13" s="62"/>
      <c r="H13" s="62"/>
    </row>
    <row r="14" spans="1:8" x14ac:dyDescent="0.25">
      <c r="A14" s="312" t="s">
        <v>84</v>
      </c>
      <c r="B14" s="313"/>
      <c r="C14" s="313"/>
      <c r="D14" s="314"/>
      <c r="E14" s="62"/>
      <c r="F14" s="62"/>
      <c r="G14" s="62"/>
      <c r="H14" s="62"/>
    </row>
    <row r="15" spans="1:8" x14ac:dyDescent="0.25">
      <c r="A15" s="139" t="s">
        <v>85</v>
      </c>
      <c r="B15" s="140">
        <v>340</v>
      </c>
      <c r="C15" s="137">
        <f>(ГОРЛЕС!K22+ГОРЛЕС!K23+ГОРЛЕС!K24)/1000</f>
        <v>887.01582084699999</v>
      </c>
      <c r="D15" s="141" t="s">
        <v>66</v>
      </c>
      <c r="E15" s="62"/>
      <c r="F15" s="62"/>
      <c r="G15" s="62"/>
      <c r="H15" s="62"/>
    </row>
    <row r="16" spans="1:8" x14ac:dyDescent="0.25">
      <c r="A16" s="312" t="s">
        <v>86</v>
      </c>
      <c r="B16" s="313"/>
      <c r="C16" s="313"/>
      <c r="D16" s="314"/>
      <c r="E16" s="62"/>
      <c r="F16" s="72">
        <f>C12+C13+C15+C18+C20</f>
        <v>8603.3656902803632</v>
      </c>
      <c r="G16" s="62"/>
      <c r="H16" s="62"/>
    </row>
    <row r="17" spans="1:8" x14ac:dyDescent="0.25">
      <c r="A17" s="139" t="s">
        <v>87</v>
      </c>
      <c r="B17" s="140">
        <v>212</v>
      </c>
      <c r="C17" s="142">
        <v>0</v>
      </c>
      <c r="D17" s="141" t="s">
        <v>66</v>
      </c>
      <c r="E17" s="62"/>
      <c r="F17" s="62"/>
      <c r="G17" s="62"/>
      <c r="H17" s="62"/>
    </row>
    <row r="18" spans="1:8" x14ac:dyDescent="0.25">
      <c r="A18" s="139" t="s">
        <v>88</v>
      </c>
      <c r="B18" s="140">
        <v>222</v>
      </c>
      <c r="C18" s="142">
        <f>ГОРЛЕС!K9/1000</f>
        <v>0</v>
      </c>
      <c r="D18" s="141" t="s">
        <v>66</v>
      </c>
      <c r="E18" s="62"/>
      <c r="F18" s="72"/>
      <c r="G18" s="62"/>
      <c r="H18" s="62"/>
    </row>
    <row r="19" spans="1:8" x14ac:dyDescent="0.25">
      <c r="A19" s="139" t="s">
        <v>172</v>
      </c>
      <c r="B19" s="140">
        <v>225</v>
      </c>
      <c r="C19" s="142">
        <f>ГОРЛЕС!K15/1000</f>
        <v>0</v>
      </c>
      <c r="D19" s="141"/>
      <c r="E19" s="62"/>
      <c r="F19" s="72"/>
      <c r="G19" s="62"/>
      <c r="H19" s="62"/>
    </row>
    <row r="20" spans="1:8" x14ac:dyDescent="0.25">
      <c r="A20" s="139" t="s">
        <v>89</v>
      </c>
      <c r="B20" s="140">
        <v>226</v>
      </c>
      <c r="C20" s="137">
        <f>(ГОРЛЕС!K18+ГОРЛЕС!K20)/1000</f>
        <v>0</v>
      </c>
      <c r="D20" s="141"/>
      <c r="E20" s="62"/>
      <c r="F20" s="62"/>
      <c r="G20" s="62"/>
      <c r="H20" s="62"/>
    </row>
    <row r="21" spans="1:8" x14ac:dyDescent="0.25">
      <c r="A21" s="139" t="s">
        <v>90</v>
      </c>
      <c r="B21" s="140">
        <v>290</v>
      </c>
      <c r="C21" s="142">
        <v>0</v>
      </c>
      <c r="D21" s="141" t="s">
        <v>66</v>
      </c>
      <c r="E21" s="62"/>
      <c r="F21" s="62"/>
      <c r="G21" s="62"/>
      <c r="H21" s="62"/>
    </row>
    <row r="22" spans="1:8" x14ac:dyDescent="0.25">
      <c r="A22" s="309" t="s">
        <v>91</v>
      </c>
      <c r="B22" s="310"/>
      <c r="C22" s="310"/>
      <c r="D22" s="311"/>
      <c r="E22" s="62"/>
      <c r="F22" s="72"/>
      <c r="G22" s="62"/>
      <c r="H22" s="62"/>
    </row>
    <row r="23" spans="1:8" ht="27.75" customHeight="1" x14ac:dyDescent="0.25">
      <c r="A23" s="309" t="s">
        <v>92</v>
      </c>
      <c r="B23" s="310"/>
      <c r="C23" s="310"/>
      <c r="D23" s="311"/>
      <c r="E23" s="62"/>
      <c r="F23" s="62"/>
      <c r="G23" s="62"/>
      <c r="H23" s="62"/>
    </row>
    <row r="24" spans="1:8" x14ac:dyDescent="0.25">
      <c r="A24" s="139" t="s">
        <v>82</v>
      </c>
      <c r="B24" s="140">
        <v>211</v>
      </c>
      <c r="C24" s="137">
        <f>ГОРЛЕС!L5/1000</f>
        <v>2016.6577199999997</v>
      </c>
      <c r="D24" s="141" t="s">
        <v>66</v>
      </c>
      <c r="E24" s="62"/>
      <c r="F24" s="62"/>
      <c r="G24" s="62"/>
      <c r="H24" s="62"/>
    </row>
    <row r="25" spans="1:8" x14ac:dyDescent="0.25">
      <c r="A25" s="139" t="s">
        <v>83</v>
      </c>
      <c r="B25" s="140">
        <v>213</v>
      </c>
      <c r="C25" s="137">
        <f>ГОРЛЕС!L7/1000</f>
        <v>609.03063056663564</v>
      </c>
      <c r="D25" s="141" t="s">
        <v>66</v>
      </c>
      <c r="E25" s="62"/>
      <c r="F25" s="62"/>
      <c r="G25" s="62"/>
      <c r="H25" s="62"/>
    </row>
    <row r="26" spans="1:8" x14ac:dyDescent="0.25">
      <c r="A26" s="312" t="s">
        <v>93</v>
      </c>
      <c r="B26" s="313"/>
      <c r="C26" s="313"/>
      <c r="D26" s="314"/>
      <c r="E26" s="62"/>
      <c r="F26" s="62"/>
      <c r="G26" s="62"/>
      <c r="H26" s="62"/>
    </row>
    <row r="27" spans="1:8" x14ac:dyDescent="0.25">
      <c r="A27" s="139" t="s">
        <v>94</v>
      </c>
      <c r="B27" s="140">
        <v>221</v>
      </c>
      <c r="C27" s="137">
        <f>ГОРЛЕС!L8/1000</f>
        <v>42.24</v>
      </c>
      <c r="D27" s="141" t="s">
        <v>66</v>
      </c>
      <c r="E27" s="62"/>
      <c r="F27" s="62"/>
      <c r="G27" s="62"/>
      <c r="H27" s="62"/>
    </row>
    <row r="28" spans="1:8" x14ac:dyDescent="0.25">
      <c r="A28" s="312" t="s">
        <v>95</v>
      </c>
      <c r="B28" s="313"/>
      <c r="C28" s="313"/>
      <c r="D28" s="314"/>
      <c r="E28" s="62"/>
      <c r="F28" s="62"/>
      <c r="G28" s="62"/>
      <c r="H28" s="62"/>
    </row>
    <row r="29" spans="1:8" x14ac:dyDescent="0.25">
      <c r="A29" s="139" t="s">
        <v>88</v>
      </c>
      <c r="B29" s="140">
        <v>222</v>
      </c>
      <c r="C29" s="137">
        <f>ГОРЛЕС!L9/1000</f>
        <v>0</v>
      </c>
      <c r="D29" s="141" t="s">
        <v>66</v>
      </c>
      <c r="E29" s="62"/>
      <c r="F29" s="62"/>
      <c r="G29" s="62"/>
      <c r="H29" s="62"/>
    </row>
    <row r="30" spans="1:8" x14ac:dyDescent="0.25">
      <c r="A30" s="312" t="s">
        <v>96</v>
      </c>
      <c r="B30" s="313"/>
      <c r="C30" s="313"/>
      <c r="D30" s="314"/>
      <c r="E30" s="62"/>
      <c r="F30" s="62"/>
      <c r="G30" s="62"/>
      <c r="H30" s="62"/>
    </row>
    <row r="31" spans="1:8" x14ac:dyDescent="0.25">
      <c r="A31" s="139" t="s">
        <v>97</v>
      </c>
      <c r="B31" s="116">
        <v>223</v>
      </c>
      <c r="C31" s="71">
        <f>F33/1000</f>
        <v>0</v>
      </c>
      <c r="D31" s="141" t="s">
        <v>66</v>
      </c>
      <c r="E31" s="62"/>
      <c r="F31" s="62"/>
      <c r="G31" s="62"/>
      <c r="H31" s="62"/>
    </row>
    <row r="32" spans="1:8" x14ac:dyDescent="0.25">
      <c r="A32" s="139" t="s">
        <v>98</v>
      </c>
      <c r="B32" s="116">
        <v>223</v>
      </c>
      <c r="C32" s="71">
        <f>F33/1000</f>
        <v>0</v>
      </c>
      <c r="D32" s="141" t="s">
        <v>66</v>
      </c>
      <c r="E32" s="62"/>
      <c r="F32" s="62">
        <f>ГОРЛЕС!L12/2</f>
        <v>0</v>
      </c>
      <c r="G32" s="62"/>
      <c r="H32" s="62"/>
    </row>
    <row r="33" spans="1:8" x14ac:dyDescent="0.25">
      <c r="A33" s="139" t="s">
        <v>99</v>
      </c>
      <c r="B33" s="116">
        <v>223</v>
      </c>
      <c r="C33" s="71">
        <f>F32/1000</f>
        <v>0</v>
      </c>
      <c r="D33" s="141" t="s">
        <v>66</v>
      </c>
      <c r="E33" s="62"/>
      <c r="F33" s="62">
        <f>F32/2</f>
        <v>0</v>
      </c>
      <c r="G33" s="62"/>
      <c r="H33" s="62"/>
    </row>
    <row r="34" spans="1:8" x14ac:dyDescent="0.25">
      <c r="A34" s="139" t="s">
        <v>201</v>
      </c>
      <c r="B34" s="116">
        <v>223</v>
      </c>
      <c r="C34" s="71">
        <f>ГОРЛЕС!L13/1000</f>
        <v>0</v>
      </c>
      <c r="D34" s="141" t="s">
        <v>66</v>
      </c>
      <c r="E34" s="62"/>
      <c r="F34" s="62"/>
      <c r="G34" s="62"/>
      <c r="H34" s="62"/>
    </row>
    <row r="35" spans="1:8" ht="27" customHeight="1" x14ac:dyDescent="0.25">
      <c r="A35" s="139" t="s">
        <v>100</v>
      </c>
      <c r="B35" s="116">
        <v>223</v>
      </c>
      <c r="C35" s="71">
        <f>ГОРЛЕС!L10/1000</f>
        <v>367.89740500000005</v>
      </c>
      <c r="D35" s="141" t="s">
        <v>66</v>
      </c>
      <c r="E35" s="62"/>
      <c r="F35" s="62"/>
      <c r="G35" s="62"/>
      <c r="H35" s="62"/>
    </row>
    <row r="36" spans="1:8" ht="25.5" x14ac:dyDescent="0.25">
      <c r="A36" s="139" t="s">
        <v>101</v>
      </c>
      <c r="B36" s="116">
        <v>223</v>
      </c>
      <c r="C36" s="71">
        <f>ГОРЛЕС!L11/1000</f>
        <v>154.22461200000001</v>
      </c>
      <c r="D36" s="141" t="s">
        <v>66</v>
      </c>
      <c r="E36" s="62"/>
      <c r="F36" s="72"/>
      <c r="G36" s="72"/>
      <c r="H36" s="62"/>
    </row>
    <row r="37" spans="1:8" x14ac:dyDescent="0.25">
      <c r="A37" s="312" t="s">
        <v>102</v>
      </c>
      <c r="B37" s="313"/>
      <c r="C37" s="313"/>
      <c r="D37" s="314"/>
      <c r="E37" s="62"/>
      <c r="F37" s="62"/>
      <c r="G37" s="62"/>
      <c r="H37" s="62"/>
    </row>
    <row r="38" spans="1:8" ht="25.5" x14ac:dyDescent="0.25">
      <c r="A38" s="115" t="s">
        <v>103</v>
      </c>
      <c r="B38" s="116">
        <v>225</v>
      </c>
      <c r="C38" s="71">
        <f>ГОРЛЕС!I15/1000</f>
        <v>1138.3059800000001</v>
      </c>
      <c r="D38" s="117" t="s">
        <v>66</v>
      </c>
      <c r="E38" s="62"/>
      <c r="F38" s="62"/>
      <c r="G38" s="62"/>
      <c r="H38" s="62"/>
    </row>
    <row r="39" spans="1:8" ht="25.5" x14ac:dyDescent="0.25">
      <c r="A39" s="115" t="s">
        <v>104</v>
      </c>
      <c r="B39" s="116">
        <v>225</v>
      </c>
      <c r="C39" s="71">
        <v>0</v>
      </c>
      <c r="D39" s="117" t="s">
        <v>66</v>
      </c>
      <c r="E39" s="62"/>
      <c r="F39" s="62"/>
      <c r="G39" s="62"/>
      <c r="H39" s="62"/>
    </row>
    <row r="40" spans="1:8" x14ac:dyDescent="0.25">
      <c r="A40" s="115" t="s">
        <v>105</v>
      </c>
      <c r="B40" s="116">
        <v>224</v>
      </c>
      <c r="C40" s="71">
        <v>0</v>
      </c>
      <c r="D40" s="117" t="s">
        <v>66</v>
      </c>
      <c r="E40" s="62"/>
      <c r="F40" s="62"/>
      <c r="G40" s="62"/>
      <c r="H40" s="62"/>
    </row>
    <row r="41" spans="1:8" ht="38.25" x14ac:dyDescent="0.25">
      <c r="A41" s="115" t="s">
        <v>106</v>
      </c>
      <c r="B41" s="116">
        <v>225</v>
      </c>
      <c r="C41" s="137">
        <f>ГОРЛЕС!J14/1000</f>
        <v>232.77891999999997</v>
      </c>
      <c r="D41" s="117" t="s">
        <v>66</v>
      </c>
      <c r="E41" s="62"/>
      <c r="F41" s="72">
        <f>C38+C41+C42+C44</f>
        <v>1371.0849000000001</v>
      </c>
      <c r="G41" s="62"/>
      <c r="H41" s="62"/>
    </row>
    <row r="42" spans="1:8" ht="28.5" customHeight="1" x14ac:dyDescent="0.25">
      <c r="A42" s="115" t="s">
        <v>107</v>
      </c>
      <c r="B42" s="116">
        <v>225</v>
      </c>
      <c r="C42" s="71">
        <v>0</v>
      </c>
      <c r="D42" s="117" t="s">
        <v>66</v>
      </c>
      <c r="E42" s="62"/>
      <c r="F42" s="74">
        <f>F41-G86</f>
        <v>1371.0849000000001</v>
      </c>
      <c r="G42" s="62"/>
      <c r="H42" s="62"/>
    </row>
    <row r="43" spans="1:8" x14ac:dyDescent="0.25">
      <c r="A43" s="309" t="s">
        <v>108</v>
      </c>
      <c r="B43" s="310"/>
      <c r="C43" s="310"/>
      <c r="D43" s="311"/>
      <c r="E43" s="62"/>
      <c r="F43" s="62"/>
      <c r="G43" s="62"/>
      <c r="H43" s="62"/>
    </row>
    <row r="44" spans="1:8" ht="15.75" customHeight="1" x14ac:dyDescent="0.25">
      <c r="A44" s="115" t="s">
        <v>109</v>
      </c>
      <c r="B44" s="116">
        <v>225</v>
      </c>
      <c r="C44" s="73">
        <v>0</v>
      </c>
      <c r="D44" s="117" t="s">
        <v>66</v>
      </c>
      <c r="E44" s="62"/>
      <c r="F44" s="62"/>
      <c r="G44" s="62"/>
      <c r="H44" s="62"/>
    </row>
    <row r="45" spans="1:8" ht="25.5" x14ac:dyDescent="0.25">
      <c r="A45" s="115" t="s">
        <v>110</v>
      </c>
      <c r="B45" s="116">
        <v>340</v>
      </c>
      <c r="C45" s="73">
        <f>ГОРЛЕС!L24/1000</f>
        <v>114.39134915299999</v>
      </c>
      <c r="D45" s="117" t="s">
        <v>66</v>
      </c>
      <c r="E45" s="62"/>
      <c r="F45" s="72"/>
      <c r="G45" s="62"/>
      <c r="H45" s="62"/>
    </row>
    <row r="46" spans="1:8" x14ac:dyDescent="0.25">
      <c r="A46" s="115" t="s">
        <v>111</v>
      </c>
      <c r="B46" s="116">
        <v>226</v>
      </c>
      <c r="C46" s="73">
        <f>ГОРЛЕС!L18/1000</f>
        <v>19.209630000000001</v>
      </c>
      <c r="D46" s="117" t="s">
        <v>66</v>
      </c>
      <c r="E46" s="62"/>
      <c r="F46" s="62"/>
      <c r="G46" s="62"/>
      <c r="H46" s="62"/>
    </row>
    <row r="47" spans="1:8" x14ac:dyDescent="0.25">
      <c r="A47" s="115" t="s">
        <v>112</v>
      </c>
      <c r="B47" s="116">
        <v>225</v>
      </c>
      <c r="C47" s="73">
        <v>0</v>
      </c>
      <c r="D47" s="117" t="s">
        <v>66</v>
      </c>
      <c r="E47" s="62"/>
      <c r="F47" s="62"/>
      <c r="G47" s="62"/>
      <c r="H47" s="62"/>
    </row>
    <row r="48" spans="1:8" x14ac:dyDescent="0.25">
      <c r="A48" s="309" t="s">
        <v>113</v>
      </c>
      <c r="B48" s="310"/>
      <c r="C48" s="310"/>
      <c r="D48" s="311"/>
      <c r="E48" s="62"/>
      <c r="F48" s="62"/>
      <c r="G48" s="62"/>
      <c r="H48" s="62"/>
    </row>
    <row r="49" spans="1:8" x14ac:dyDescent="0.25">
      <c r="A49" s="115" t="s">
        <v>87</v>
      </c>
      <c r="B49" s="116">
        <v>212</v>
      </c>
      <c r="C49" s="73">
        <f>ГОРЛЕС!L6/1000</f>
        <v>232.71185</v>
      </c>
      <c r="D49" s="117" t="s">
        <v>66</v>
      </c>
      <c r="E49" s="62"/>
      <c r="F49" s="62"/>
      <c r="G49" s="62"/>
      <c r="H49" s="62"/>
    </row>
    <row r="50" spans="1:8" x14ac:dyDescent="0.25">
      <c r="A50" s="115" t="s">
        <v>114</v>
      </c>
      <c r="B50" s="116">
        <v>224</v>
      </c>
      <c r="C50" s="73">
        <v>0</v>
      </c>
      <c r="D50" s="117" t="s">
        <v>66</v>
      </c>
      <c r="E50" s="62"/>
      <c r="F50" s="62"/>
      <c r="G50" s="62"/>
      <c r="H50" s="62"/>
    </row>
    <row r="51" spans="1:8" x14ac:dyDescent="0.25">
      <c r="A51" s="115" t="s">
        <v>89</v>
      </c>
      <c r="B51" s="116">
        <v>226</v>
      </c>
      <c r="C51" s="73">
        <f>(ГОРЛЕС!L19+ГОРЛЕС!L20+ГОРЛЕС!L17+ГОРЛЕС!L16)/1000</f>
        <v>1397.5264399999999</v>
      </c>
      <c r="D51" s="117" t="s">
        <v>66</v>
      </c>
      <c r="E51" s="62"/>
      <c r="F51" s="62"/>
      <c r="G51" s="62"/>
      <c r="H51" s="62"/>
    </row>
    <row r="52" spans="1:8" x14ac:dyDescent="0.25">
      <c r="A52" s="115" t="s">
        <v>90</v>
      </c>
      <c r="B52" s="116">
        <v>228</v>
      </c>
      <c r="C52" s="73">
        <f>ГОРЛЕС!I21/1000</f>
        <v>350</v>
      </c>
      <c r="D52" s="117" t="s">
        <v>66</v>
      </c>
      <c r="E52" s="62"/>
      <c r="F52" s="62"/>
      <c r="G52" s="62"/>
      <c r="H52" s="62"/>
    </row>
    <row r="53" spans="1:8" x14ac:dyDescent="0.25">
      <c r="A53" s="115" t="s">
        <v>85</v>
      </c>
      <c r="B53" s="116">
        <v>340</v>
      </c>
      <c r="C53" s="73">
        <f>C45</f>
        <v>114.39134915299999</v>
      </c>
      <c r="D53" s="117" t="s">
        <v>66</v>
      </c>
      <c r="E53" s="62"/>
      <c r="F53" s="62"/>
      <c r="G53" s="62"/>
      <c r="H53" s="62"/>
    </row>
    <row r="54" spans="1:8" x14ac:dyDescent="0.25">
      <c r="A54" s="309" t="s">
        <v>115</v>
      </c>
      <c r="B54" s="310"/>
      <c r="C54" s="310"/>
      <c r="D54" s="311"/>
      <c r="E54" s="62"/>
      <c r="F54" s="62"/>
      <c r="G54" s="62"/>
      <c r="H54" s="62"/>
    </row>
    <row r="55" spans="1:8" x14ac:dyDescent="0.25">
      <c r="A55" s="115" t="s">
        <v>82</v>
      </c>
      <c r="B55" s="116">
        <v>211</v>
      </c>
      <c r="C55" s="71">
        <f>C24</f>
        <v>2016.6577199999997</v>
      </c>
      <c r="D55" s="117">
        <f>ROUND(C55*100/($C$12+$C$13),1)</f>
        <v>26.1</v>
      </c>
      <c r="E55" s="62"/>
      <c r="F55" s="62"/>
      <c r="G55" s="62"/>
      <c r="H55" s="62"/>
    </row>
    <row r="56" spans="1:8" x14ac:dyDescent="0.25">
      <c r="A56" s="115" t="s">
        <v>116</v>
      </c>
      <c r="B56" s="116">
        <v>213</v>
      </c>
      <c r="C56" s="71">
        <f>C25</f>
        <v>609.03063056663564</v>
      </c>
      <c r="D56" s="117">
        <f t="shared" ref="D56:D66" si="0">ROUND(C56*100/($C$12+$C$13),1)</f>
        <v>7.9</v>
      </c>
      <c r="E56" s="62"/>
      <c r="F56" s="62"/>
      <c r="G56" s="62"/>
      <c r="H56" s="62"/>
    </row>
    <row r="57" spans="1:8" x14ac:dyDescent="0.25">
      <c r="A57" s="115" t="s">
        <v>87</v>
      </c>
      <c r="B57" s="116">
        <v>212</v>
      </c>
      <c r="C57" s="71">
        <f>C49</f>
        <v>232.71185</v>
      </c>
      <c r="D57" s="117">
        <f t="shared" si="0"/>
        <v>3</v>
      </c>
      <c r="E57" s="62"/>
      <c r="F57" s="62"/>
      <c r="G57" s="62"/>
      <c r="H57" s="62"/>
    </row>
    <row r="58" spans="1:8" x14ac:dyDescent="0.25">
      <c r="A58" s="115" t="s">
        <v>94</v>
      </c>
      <c r="B58" s="116">
        <v>221</v>
      </c>
      <c r="C58" s="71">
        <f>C27</f>
        <v>42.24</v>
      </c>
      <c r="D58" s="117">
        <f t="shared" si="0"/>
        <v>0.5</v>
      </c>
      <c r="E58" s="62"/>
      <c r="F58" s="62"/>
      <c r="G58" s="62"/>
      <c r="H58" s="62"/>
    </row>
    <row r="59" spans="1:8" x14ac:dyDescent="0.25">
      <c r="A59" s="115" t="s">
        <v>88</v>
      </c>
      <c r="B59" s="116">
        <v>222</v>
      </c>
      <c r="C59" s="71">
        <f>C29</f>
        <v>0</v>
      </c>
      <c r="D59" s="117">
        <f t="shared" si="0"/>
        <v>0</v>
      </c>
      <c r="E59" s="62"/>
      <c r="F59" s="62"/>
      <c r="G59" s="62"/>
      <c r="H59" s="62"/>
    </row>
    <row r="60" spans="1:8" x14ac:dyDescent="0.25">
      <c r="A60" s="115" t="s">
        <v>117</v>
      </c>
      <c r="B60" s="116">
        <v>223</v>
      </c>
      <c r="C60" s="71">
        <f>C31+C32+C33+C35+C36+C34</f>
        <v>522.12201700000003</v>
      </c>
      <c r="D60" s="117">
        <f t="shared" si="0"/>
        <v>6.8</v>
      </c>
      <c r="E60" s="62"/>
      <c r="F60" s="62"/>
      <c r="G60" s="62"/>
      <c r="H60" s="62"/>
    </row>
    <row r="61" spans="1:8" x14ac:dyDescent="0.25">
      <c r="A61" s="115" t="s">
        <v>118</v>
      </c>
      <c r="B61" s="116">
        <v>224</v>
      </c>
      <c r="C61" s="71">
        <f>C40</f>
        <v>0</v>
      </c>
      <c r="D61" s="117">
        <f t="shared" si="0"/>
        <v>0</v>
      </c>
      <c r="E61" s="62"/>
      <c r="F61" s="62"/>
      <c r="G61" s="62"/>
      <c r="H61" s="62"/>
    </row>
    <row r="62" spans="1:8" x14ac:dyDescent="0.25">
      <c r="A62" s="115" t="s">
        <v>119</v>
      </c>
      <c r="B62" s="116">
        <v>225</v>
      </c>
      <c r="C62" s="71">
        <f>C38+C39+C41+C42</f>
        <v>1371.0849000000001</v>
      </c>
      <c r="D62" s="117">
        <f t="shared" si="0"/>
        <v>17.8</v>
      </c>
      <c r="E62" s="62"/>
      <c r="F62" s="62"/>
      <c r="G62" s="62"/>
      <c r="H62" s="62"/>
    </row>
    <row r="63" spans="1:8" x14ac:dyDescent="0.25">
      <c r="A63" s="115" t="s">
        <v>89</v>
      </c>
      <c r="B63" s="116">
        <v>226</v>
      </c>
      <c r="C63" s="71">
        <f>C46+C51</f>
        <v>1416.7360699999999</v>
      </c>
      <c r="D63" s="117">
        <f t="shared" si="0"/>
        <v>18.399999999999999</v>
      </c>
      <c r="E63" s="62"/>
      <c r="F63" s="62"/>
      <c r="G63" s="62"/>
      <c r="H63" s="62"/>
    </row>
    <row r="64" spans="1:8" x14ac:dyDescent="0.25">
      <c r="A64" s="115" t="s">
        <v>90</v>
      </c>
      <c r="B64" s="116">
        <v>290</v>
      </c>
      <c r="C64" s="71">
        <f>C52</f>
        <v>350</v>
      </c>
      <c r="D64" s="117">
        <f t="shared" si="0"/>
        <v>4.5</v>
      </c>
      <c r="E64" s="62"/>
      <c r="F64" s="62"/>
      <c r="G64" s="62"/>
      <c r="H64" s="62"/>
    </row>
    <row r="65" spans="1:8" x14ac:dyDescent="0.25">
      <c r="A65" s="115" t="s">
        <v>120</v>
      </c>
      <c r="B65" s="116">
        <v>340</v>
      </c>
      <c r="C65" s="71">
        <f>C53</f>
        <v>114.39134915299999</v>
      </c>
      <c r="D65" s="117">
        <f t="shared" si="0"/>
        <v>1.5</v>
      </c>
      <c r="E65" s="62"/>
      <c r="F65" s="62"/>
      <c r="G65" s="62"/>
      <c r="H65" s="62"/>
    </row>
    <row r="66" spans="1:8" x14ac:dyDescent="0.25">
      <c r="A66" s="115" t="s">
        <v>121</v>
      </c>
      <c r="B66" s="116"/>
      <c r="C66" s="71">
        <v>0</v>
      </c>
      <c r="D66" s="118">
        <f t="shared" si="0"/>
        <v>0</v>
      </c>
      <c r="E66" s="62"/>
      <c r="F66" s="62"/>
      <c r="G66" s="62"/>
      <c r="H66" s="62"/>
    </row>
    <row r="67" spans="1:8" x14ac:dyDescent="0.25">
      <c r="A67" s="119" t="s">
        <v>122</v>
      </c>
      <c r="B67" s="116"/>
      <c r="C67" s="120">
        <f>C12+C13+C15+C17+C18+C20+C21+SUM(C55:C65)</f>
        <v>15278.340226999999</v>
      </c>
      <c r="D67" s="117">
        <f>SUM(D55:D66)</f>
        <v>86.5</v>
      </c>
      <c r="E67" s="62"/>
      <c r="F67" s="74"/>
      <c r="G67" s="62"/>
      <c r="H67" s="62"/>
    </row>
    <row r="68" spans="1:8" x14ac:dyDescent="0.25">
      <c r="A68" s="309" t="s">
        <v>123</v>
      </c>
      <c r="B68" s="310"/>
      <c r="C68" s="310"/>
      <c r="D68" s="311"/>
      <c r="E68" s="62"/>
      <c r="F68" s="62"/>
      <c r="G68" s="62"/>
      <c r="H68" s="62"/>
    </row>
    <row r="69" spans="1:8" ht="25.5" x14ac:dyDescent="0.25">
      <c r="A69" s="115" t="s">
        <v>100</v>
      </c>
      <c r="B69" s="116">
        <v>223</v>
      </c>
      <c r="C69" s="137">
        <f>ГОРЛЕС!M10/1000</f>
        <v>367.89740500000005</v>
      </c>
      <c r="D69" s="117" t="s">
        <v>66</v>
      </c>
      <c r="E69" s="62"/>
      <c r="F69" s="62"/>
      <c r="G69" s="62"/>
      <c r="H69" s="62"/>
    </row>
    <row r="70" spans="1:8" ht="25.5" x14ac:dyDescent="0.25">
      <c r="A70" s="115" t="s">
        <v>124</v>
      </c>
      <c r="B70" s="116">
        <v>223</v>
      </c>
      <c r="C70" s="137">
        <f>ГОРЛЕС!M11/1000</f>
        <v>17.136067999999998</v>
      </c>
      <c r="D70" s="117" t="s">
        <v>66</v>
      </c>
      <c r="E70" s="62"/>
      <c r="F70" s="62"/>
      <c r="G70" s="62"/>
      <c r="H70" s="62"/>
    </row>
    <row r="71" spans="1:8" x14ac:dyDescent="0.25">
      <c r="A71" s="115" t="s">
        <v>125</v>
      </c>
      <c r="B71" s="116">
        <v>290</v>
      </c>
      <c r="C71" s="137">
        <f>ГОРЛЕС!M25/1000</f>
        <v>0</v>
      </c>
      <c r="D71" s="117" t="s">
        <v>66</v>
      </c>
      <c r="E71" s="62"/>
      <c r="F71" s="62"/>
      <c r="G71" s="62"/>
      <c r="H71" s="62"/>
    </row>
    <row r="72" spans="1:8" x14ac:dyDescent="0.25">
      <c r="A72" s="119" t="s">
        <v>126</v>
      </c>
      <c r="B72" s="116"/>
      <c r="C72" s="138">
        <f>SUM(C69:C71)</f>
        <v>385.03347300000007</v>
      </c>
      <c r="D72" s="117" t="s">
        <v>66</v>
      </c>
      <c r="E72" s="62"/>
      <c r="F72" s="62"/>
      <c r="G72" s="62"/>
      <c r="H72" s="62"/>
    </row>
    <row r="73" spans="1:8" ht="31.5" customHeight="1" x14ac:dyDescent="0.25">
      <c r="A73" s="309" t="s">
        <v>127</v>
      </c>
      <c r="B73" s="310"/>
      <c r="C73" s="310"/>
      <c r="D73" s="311"/>
      <c r="E73" s="62"/>
      <c r="F73" s="62"/>
      <c r="G73" s="62"/>
      <c r="H73" s="62"/>
    </row>
    <row r="74" spans="1:8" x14ac:dyDescent="0.25">
      <c r="A74" s="115" t="s">
        <v>82</v>
      </c>
      <c r="B74" s="116">
        <v>211</v>
      </c>
      <c r="C74" s="137">
        <f>C55+C12</f>
        <v>7943.1937199999993</v>
      </c>
      <c r="D74" s="117" t="s">
        <v>66</v>
      </c>
      <c r="E74" s="72"/>
      <c r="F74" s="72"/>
      <c r="G74" s="72"/>
      <c r="H74" s="72"/>
    </row>
    <row r="75" spans="1:8" x14ac:dyDescent="0.25">
      <c r="A75" s="115" t="s">
        <v>116</v>
      </c>
      <c r="B75" s="116">
        <v>213</v>
      </c>
      <c r="C75" s="137">
        <f>C56+C13</f>
        <v>2398.8445000000002</v>
      </c>
      <c r="D75" s="117" t="s">
        <v>66</v>
      </c>
      <c r="E75" s="72"/>
      <c r="F75" s="72"/>
      <c r="G75" s="72"/>
      <c r="H75" s="72"/>
    </row>
    <row r="76" spans="1:8" x14ac:dyDescent="0.25">
      <c r="A76" s="115" t="s">
        <v>87</v>
      </c>
      <c r="B76" s="116">
        <v>212</v>
      </c>
      <c r="C76" s="137">
        <f>C57+C17</f>
        <v>232.71185</v>
      </c>
      <c r="D76" s="117" t="s">
        <v>66</v>
      </c>
      <c r="E76" s="72"/>
      <c r="F76" s="72"/>
      <c r="G76" s="72"/>
      <c r="H76" s="72"/>
    </row>
    <row r="77" spans="1:8" x14ac:dyDescent="0.25">
      <c r="A77" s="115" t="s">
        <v>94</v>
      </c>
      <c r="B77" s="116">
        <v>221</v>
      </c>
      <c r="C77" s="137">
        <f>C58</f>
        <v>42.24</v>
      </c>
      <c r="D77" s="117" t="s">
        <v>66</v>
      </c>
      <c r="E77" s="72"/>
      <c r="F77" s="72"/>
      <c r="G77" s="72"/>
      <c r="H77" s="72"/>
    </row>
    <row r="78" spans="1:8" x14ac:dyDescent="0.25">
      <c r="A78" s="115" t="s">
        <v>88</v>
      </c>
      <c r="B78" s="116">
        <v>222</v>
      </c>
      <c r="C78" s="137">
        <f>C59+C18</f>
        <v>0</v>
      </c>
      <c r="D78" s="117" t="s">
        <v>66</v>
      </c>
      <c r="E78" s="72"/>
      <c r="F78" s="72"/>
      <c r="G78" s="72"/>
      <c r="H78" s="72"/>
    </row>
    <row r="79" spans="1:8" x14ac:dyDescent="0.25">
      <c r="A79" s="115" t="s">
        <v>117</v>
      </c>
      <c r="B79" s="116">
        <v>223</v>
      </c>
      <c r="C79" s="137">
        <f>C60+C69+C70</f>
        <v>907.1554900000001</v>
      </c>
      <c r="D79" s="117" t="s">
        <v>66</v>
      </c>
      <c r="E79" s="72"/>
      <c r="F79" s="72"/>
      <c r="G79" s="72"/>
      <c r="H79" s="72"/>
    </row>
    <row r="80" spans="1:8" x14ac:dyDescent="0.25">
      <c r="A80" s="115" t="s">
        <v>118</v>
      </c>
      <c r="B80" s="116">
        <v>224</v>
      </c>
      <c r="C80" s="137">
        <f>C61</f>
        <v>0</v>
      </c>
      <c r="D80" s="117" t="s">
        <v>66</v>
      </c>
      <c r="E80" s="72"/>
      <c r="F80" s="72"/>
      <c r="G80" s="72"/>
      <c r="H80" s="72"/>
    </row>
    <row r="81" spans="1:8" ht="18.75" customHeight="1" x14ac:dyDescent="0.25">
      <c r="A81" s="115" t="s">
        <v>119</v>
      </c>
      <c r="B81" s="116">
        <v>225</v>
      </c>
      <c r="C81" s="137">
        <f>C38+C41</f>
        <v>1371.0849000000001</v>
      </c>
      <c r="D81" s="117" t="s">
        <v>66</v>
      </c>
      <c r="E81" s="72"/>
      <c r="F81" s="72"/>
      <c r="G81" s="72"/>
      <c r="H81" s="72"/>
    </row>
    <row r="82" spans="1:8" ht="18.75" customHeight="1" x14ac:dyDescent="0.25">
      <c r="A82" s="115" t="s">
        <v>89</v>
      </c>
      <c r="B82" s="116">
        <v>226</v>
      </c>
      <c r="C82" s="137">
        <f>C63</f>
        <v>1416.7360699999999</v>
      </c>
      <c r="D82" s="117" t="s">
        <v>66</v>
      </c>
      <c r="E82" s="72"/>
      <c r="F82" s="72"/>
      <c r="G82" s="72"/>
      <c r="H82" s="72"/>
    </row>
    <row r="83" spans="1:8" x14ac:dyDescent="0.25">
      <c r="A83" s="115" t="s">
        <v>90</v>
      </c>
      <c r="B83" s="116">
        <v>228</v>
      </c>
      <c r="C83" s="137">
        <f>C71+C64+C21</f>
        <v>350</v>
      </c>
      <c r="D83" s="117" t="s">
        <v>66</v>
      </c>
      <c r="E83" s="72"/>
      <c r="F83" s="72"/>
      <c r="G83" s="72"/>
      <c r="H83" s="72"/>
    </row>
    <row r="84" spans="1:8" x14ac:dyDescent="0.25">
      <c r="A84" s="115" t="s">
        <v>120</v>
      </c>
      <c r="B84" s="116">
        <v>340</v>
      </c>
      <c r="C84" s="137">
        <f>C45+C15</f>
        <v>1001.40717</v>
      </c>
      <c r="D84" s="117" t="s">
        <v>66</v>
      </c>
      <c r="E84" s="72"/>
      <c r="F84" s="72"/>
      <c r="G84" s="72"/>
      <c r="H84" s="72"/>
    </row>
    <row r="85" spans="1:8" ht="15.75" thickBot="1" x14ac:dyDescent="0.3">
      <c r="A85" s="75" t="s">
        <v>128</v>
      </c>
      <c r="B85" s="76"/>
      <c r="C85" s="136">
        <f>SUM(C74:C84)</f>
        <v>15663.373699999998</v>
      </c>
      <c r="D85" s="77"/>
      <c r="E85" s="72"/>
      <c r="F85" s="72"/>
      <c r="G85" s="41"/>
      <c r="H85" s="72"/>
    </row>
    <row r="86" spans="1:8" ht="16.5" thickTop="1" x14ac:dyDescent="0.25">
      <c r="A86" s="78"/>
      <c r="G86" s="34"/>
    </row>
    <row r="89" spans="1:8" x14ac:dyDescent="0.25">
      <c r="E89" s="53"/>
    </row>
  </sheetData>
  <mergeCells count="21">
    <mergeCell ref="A23:D23"/>
    <mergeCell ref="B2:D2"/>
    <mergeCell ref="B3:D3"/>
    <mergeCell ref="A4:D4"/>
    <mergeCell ref="A5:D5"/>
    <mergeCell ref="A6:D6"/>
    <mergeCell ref="A9:D9"/>
    <mergeCell ref="A10:D10"/>
    <mergeCell ref="A11:D11"/>
    <mergeCell ref="A14:D14"/>
    <mergeCell ref="A16:D16"/>
    <mergeCell ref="A22:D22"/>
    <mergeCell ref="A54:D54"/>
    <mergeCell ref="A68:D68"/>
    <mergeCell ref="A73:D73"/>
    <mergeCell ref="A26:D26"/>
    <mergeCell ref="A28:D28"/>
    <mergeCell ref="A30:D30"/>
    <mergeCell ref="A37:D37"/>
    <mergeCell ref="A43:D43"/>
    <mergeCell ref="A48:D48"/>
  </mergeCells>
  <pageMargins left="0.78740157480314965" right="0" top="0" bottom="0" header="0" footer="0"/>
  <pageSetup paperSize="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82"/>
  <sheetViews>
    <sheetView topLeftCell="A61" zoomScale="110" zoomScaleNormal="110" workbookViewId="0">
      <selection activeCell="I70" sqref="I70"/>
    </sheetView>
  </sheetViews>
  <sheetFormatPr defaultRowHeight="15" x14ac:dyDescent="0.25"/>
  <cols>
    <col min="1" max="1" width="4" customWidth="1"/>
    <col min="2" max="2" width="23.28515625" customWidth="1"/>
    <col min="3" max="3" width="8.42578125" style="40" customWidth="1"/>
    <col min="4" max="4" width="10.28515625" style="247" customWidth="1"/>
    <col min="5" max="5" width="10.42578125" style="247" customWidth="1"/>
    <col min="6" max="6" width="14.5703125" style="247" customWidth="1"/>
    <col min="7" max="7" width="16.28515625" style="235" customWidth="1"/>
    <col min="8" max="8" width="10" style="247" bestFit="1" customWidth="1"/>
    <col min="9" max="9" width="14.85546875" style="248" customWidth="1"/>
    <col min="11" max="11" width="12.5703125" bestFit="1" customWidth="1"/>
    <col min="12" max="13" width="9.7109375" bestFit="1" customWidth="1"/>
  </cols>
  <sheetData>
    <row r="1" spans="1:11" s="45" customFormat="1" ht="11.25" x14ac:dyDescent="0.2">
      <c r="C1" s="61"/>
      <c r="D1" s="236"/>
      <c r="E1" s="236"/>
      <c r="F1" s="236"/>
      <c r="G1" s="233"/>
      <c r="H1" s="236"/>
      <c r="I1" s="237" t="s">
        <v>129</v>
      </c>
    </row>
    <row r="2" spans="1:11" s="45" customFormat="1" ht="11.25" x14ac:dyDescent="0.2">
      <c r="C2" s="61"/>
      <c r="D2" s="236"/>
      <c r="E2" s="236"/>
      <c r="F2" s="236"/>
      <c r="G2" s="330" t="s">
        <v>52</v>
      </c>
      <c r="H2" s="330"/>
      <c r="I2" s="330"/>
    </row>
    <row r="3" spans="1:11" s="45" customFormat="1" ht="11.25" x14ac:dyDescent="0.2">
      <c r="C3" s="61"/>
      <c r="D3" s="236"/>
      <c r="E3" s="236"/>
      <c r="F3" s="236"/>
      <c r="G3" s="330" t="s">
        <v>53</v>
      </c>
      <c r="H3" s="330"/>
      <c r="I3" s="330"/>
    </row>
    <row r="4" spans="1:11" s="45" customFormat="1" ht="11.25" x14ac:dyDescent="0.2">
      <c r="C4" s="61"/>
      <c r="D4" s="236"/>
      <c r="E4" s="236"/>
      <c r="F4" s="330" t="s">
        <v>54</v>
      </c>
      <c r="G4" s="330"/>
      <c r="H4" s="330"/>
      <c r="I4" s="330"/>
    </row>
    <row r="6" spans="1:11" ht="28.5" customHeight="1" x14ac:dyDescent="0.25">
      <c r="A6" s="331" t="s">
        <v>130</v>
      </c>
      <c r="B6" s="331"/>
      <c r="C6" s="331"/>
      <c r="D6" s="331"/>
      <c r="E6" s="331"/>
      <c r="F6" s="331"/>
      <c r="G6" s="331"/>
      <c r="H6" s="331"/>
      <c r="I6" s="331"/>
    </row>
    <row r="7" spans="1:11" ht="15.75" customHeight="1" thickBot="1" x14ac:dyDescent="0.3">
      <c r="A7" s="331" t="s">
        <v>171</v>
      </c>
      <c r="B7" s="331"/>
      <c r="C7" s="331"/>
      <c r="D7" s="331"/>
      <c r="E7" s="331"/>
      <c r="F7" s="331"/>
      <c r="G7" s="331"/>
      <c r="H7" s="331"/>
      <c r="I7" s="331"/>
    </row>
    <row r="8" spans="1:11" s="67" customFormat="1" ht="90" x14ac:dyDescent="0.2">
      <c r="A8" s="58" t="s">
        <v>131</v>
      </c>
      <c r="B8" s="59" t="s">
        <v>132</v>
      </c>
      <c r="C8" s="79" t="s">
        <v>2</v>
      </c>
      <c r="D8" s="238" t="s">
        <v>194</v>
      </c>
      <c r="E8" s="238" t="s">
        <v>133</v>
      </c>
      <c r="F8" s="238" t="s">
        <v>134</v>
      </c>
      <c r="G8" s="257" t="s">
        <v>135</v>
      </c>
      <c r="H8" s="238" t="s">
        <v>6</v>
      </c>
      <c r="I8" s="239" t="s">
        <v>136</v>
      </c>
    </row>
    <row r="9" spans="1:11" s="67" customFormat="1" ht="11.25" x14ac:dyDescent="0.2">
      <c r="A9" s="60">
        <v>1</v>
      </c>
      <c r="B9" s="47">
        <v>2</v>
      </c>
      <c r="C9" s="69">
        <v>3</v>
      </c>
      <c r="D9" s="287">
        <v>4</v>
      </c>
      <c r="E9" s="287">
        <v>5</v>
      </c>
      <c r="F9" s="287">
        <v>6</v>
      </c>
      <c r="G9" s="258" t="s">
        <v>137</v>
      </c>
      <c r="H9" s="287">
        <v>8</v>
      </c>
      <c r="I9" s="241" t="s">
        <v>138</v>
      </c>
    </row>
    <row r="10" spans="1:11" s="67" customFormat="1" ht="12.75" customHeight="1" x14ac:dyDescent="0.2">
      <c r="A10" s="326">
        <v>1</v>
      </c>
      <c r="B10" s="323" t="s">
        <v>170</v>
      </c>
      <c r="C10" s="111">
        <v>900</v>
      </c>
      <c r="D10" s="242">
        <f>SUM(D11:D21)</f>
        <v>46.403561310999997</v>
      </c>
      <c r="E10" s="242">
        <f>SUM(E11:E21)</f>
        <v>0</v>
      </c>
      <c r="F10" s="242">
        <f>SUM(F11:F21)</f>
        <v>1255.3829504306</v>
      </c>
      <c r="G10" s="260">
        <f>SUM(G11:G21)</f>
        <v>1301.7865117416</v>
      </c>
      <c r="H10" s="260">
        <f>SUM(H11:H21)</f>
        <v>77.006694600000003</v>
      </c>
      <c r="I10" s="285">
        <f>G10+H10</f>
        <v>1378.7932063415999</v>
      </c>
      <c r="K10" s="67">
        <f>G10*1000</f>
        <v>1301786.5117416</v>
      </c>
    </row>
    <row r="11" spans="1:11" s="67" customFormat="1" ht="12" customHeight="1" x14ac:dyDescent="0.2">
      <c r="A11" s="326"/>
      <c r="B11" s="324"/>
      <c r="C11" s="195">
        <v>211</v>
      </c>
      <c r="D11" s="243">
        <f>'прил 1'!F21</f>
        <v>37.040830499999998</v>
      </c>
      <c r="E11" s="243">
        <v>0</v>
      </c>
      <c r="F11" s="243">
        <f>'прил 1'!F44</f>
        <v>344.06618400000002</v>
      </c>
      <c r="G11" s="262">
        <f t="shared" ref="G11:G12" si="0">D11+E11+F11</f>
        <v>381.10701449999999</v>
      </c>
      <c r="H11" s="261">
        <v>0</v>
      </c>
      <c r="I11" s="285">
        <f t="shared" ref="I11:I21" si="1">G11+H11</f>
        <v>381.10701449999999</v>
      </c>
      <c r="K11" s="67">
        <v>11268731.680019168</v>
      </c>
    </row>
    <row r="12" spans="1:11" s="67" customFormat="1" ht="12" customHeight="1" x14ac:dyDescent="0.2">
      <c r="A12" s="326"/>
      <c r="B12" s="324"/>
      <c r="C12" s="195">
        <v>213</v>
      </c>
      <c r="D12" s="243">
        <f>'прил 1'!F22+2.3+0.8764</f>
        <v>9.3627308109999987</v>
      </c>
      <c r="E12" s="243">
        <v>0</v>
      </c>
      <c r="F12" s="243">
        <f>'прил 1'!F45</f>
        <v>103.2198552</v>
      </c>
      <c r="G12" s="262">
        <f t="shared" si="0"/>
        <v>112.58258601099999</v>
      </c>
      <c r="H12" s="261">
        <v>0</v>
      </c>
      <c r="I12" s="285">
        <f t="shared" si="1"/>
        <v>112.58258601099999</v>
      </c>
      <c r="K12" s="67">
        <f>K10-K11</f>
        <v>-9966945.1682775691</v>
      </c>
    </row>
    <row r="13" spans="1:11" s="67" customFormat="1" ht="12" customHeight="1" x14ac:dyDescent="0.2">
      <c r="A13" s="326"/>
      <c r="B13" s="324"/>
      <c r="C13" s="195">
        <v>212</v>
      </c>
      <c r="D13" s="243">
        <v>0</v>
      </c>
      <c r="E13" s="243">
        <v>0</v>
      </c>
      <c r="F13" s="243">
        <f>ГОРЛЕС!L6/1000/5</f>
        <v>46.542369999999998</v>
      </c>
      <c r="G13" s="262">
        <f>D13+E13+F13</f>
        <v>46.542369999999998</v>
      </c>
      <c r="H13" s="261">
        <v>0</v>
      </c>
      <c r="I13" s="285">
        <f>G13+H13</f>
        <v>46.542369999999998</v>
      </c>
    </row>
    <row r="14" spans="1:11" s="67" customFormat="1" ht="12" customHeight="1" x14ac:dyDescent="0.2">
      <c r="A14" s="326"/>
      <c r="B14" s="324"/>
      <c r="C14" s="195">
        <v>221</v>
      </c>
      <c r="D14" s="243">
        <v>0</v>
      </c>
      <c r="E14" s="243">
        <v>0</v>
      </c>
      <c r="F14" s="243">
        <f>ГОРЛЕС!L8/1000/5</f>
        <v>8.4480000000000004</v>
      </c>
      <c r="G14" s="262">
        <f>D14+E14+F14</f>
        <v>8.4480000000000004</v>
      </c>
      <c r="H14" s="261">
        <v>0</v>
      </c>
      <c r="I14" s="285">
        <f t="shared" si="1"/>
        <v>8.4480000000000004</v>
      </c>
    </row>
    <row r="15" spans="1:11" s="67" customFormat="1" ht="12" customHeight="1" x14ac:dyDescent="0.2">
      <c r="A15" s="326"/>
      <c r="B15" s="324"/>
      <c r="C15" s="195">
        <v>222</v>
      </c>
      <c r="D15" s="243">
        <v>0</v>
      </c>
      <c r="E15" s="243">
        <v>0</v>
      </c>
      <c r="F15" s="243">
        <f>(ГОРЛЕС!L9/1000)/6</f>
        <v>0</v>
      </c>
      <c r="G15" s="262">
        <f t="shared" ref="G15:G21" si="2">D15+E15+F15</f>
        <v>0</v>
      </c>
      <c r="H15" s="261">
        <v>0</v>
      </c>
      <c r="I15" s="285">
        <f t="shared" si="1"/>
        <v>0</v>
      </c>
    </row>
    <row r="16" spans="1:11" s="67" customFormat="1" ht="12" customHeight="1" x14ac:dyDescent="0.2">
      <c r="A16" s="326"/>
      <c r="B16" s="324"/>
      <c r="C16" s="195">
        <v>310</v>
      </c>
      <c r="D16" s="243">
        <v>0</v>
      </c>
      <c r="E16" s="243">
        <v>0</v>
      </c>
      <c r="F16" s="243">
        <f>ГОРЛЕС!I21/5/1000</f>
        <v>70</v>
      </c>
      <c r="G16" s="262">
        <f t="shared" si="2"/>
        <v>70</v>
      </c>
      <c r="H16" s="261">
        <v>0</v>
      </c>
      <c r="I16" s="285">
        <f t="shared" si="1"/>
        <v>70</v>
      </c>
    </row>
    <row r="17" spans="1:13" s="67" customFormat="1" ht="12" customHeight="1" x14ac:dyDescent="0.2">
      <c r="A17" s="326"/>
      <c r="B17" s="324"/>
      <c r="C17" s="195">
        <v>223</v>
      </c>
      <c r="D17" s="243">
        <v>0</v>
      </c>
      <c r="E17" s="243">
        <v>0</v>
      </c>
      <c r="F17" s="243">
        <f>(ГОРЛЕС!L11+ГОРЛЕС!L10+ГОРЛЕС!L12)/5/1000</f>
        <v>104.42440339999999</v>
      </c>
      <c r="G17" s="262">
        <f t="shared" si="2"/>
        <v>104.42440339999999</v>
      </c>
      <c r="H17" s="261">
        <f>(ГОРЛЕС!M10+ГОРЛЕС!M11)/5/1000</f>
        <v>77.006694600000003</v>
      </c>
      <c r="I17" s="285">
        <f t="shared" si="1"/>
        <v>181.43109799999999</v>
      </c>
      <c r="L17" s="67" t="s">
        <v>182</v>
      </c>
    </row>
    <row r="18" spans="1:13" s="67" customFormat="1" ht="12" customHeight="1" x14ac:dyDescent="0.2">
      <c r="A18" s="326"/>
      <c r="B18" s="324"/>
      <c r="C18" s="195">
        <v>225</v>
      </c>
      <c r="D18" s="243">
        <v>0</v>
      </c>
      <c r="E18" s="243">
        <v>0</v>
      </c>
      <c r="F18" s="243">
        <f>(ГОРЛЕС!L14+ГОРЛЕС!L15)/5/1000</f>
        <v>274.21697999999998</v>
      </c>
      <c r="G18" s="262">
        <f t="shared" si="2"/>
        <v>274.21697999999998</v>
      </c>
      <c r="H18" s="261">
        <v>0</v>
      </c>
      <c r="I18" s="285">
        <f t="shared" si="1"/>
        <v>274.21697999999998</v>
      </c>
    </row>
    <row r="19" spans="1:13" s="67" customFormat="1" ht="12" customHeight="1" x14ac:dyDescent="0.2">
      <c r="A19" s="326"/>
      <c r="B19" s="324"/>
      <c r="C19" s="195">
        <v>226</v>
      </c>
      <c r="D19" s="243">
        <v>0</v>
      </c>
      <c r="E19" s="243">
        <v>0</v>
      </c>
      <c r="F19" s="243">
        <f>ГОРЛЕС!L17/1000+ГОРЛЕС!L20/5/1000+ГОРЛЕС!L19/1000+(ГОРЛЕС!L16/5/1000)</f>
        <v>281.58688799999999</v>
      </c>
      <c r="G19" s="262">
        <f>D19+E19+F19</f>
        <v>281.58688799999999</v>
      </c>
      <c r="H19" s="261">
        <v>0</v>
      </c>
      <c r="I19" s="285">
        <f t="shared" si="1"/>
        <v>281.58688799999999</v>
      </c>
    </row>
    <row r="20" spans="1:13" s="67" customFormat="1" ht="12" customHeight="1" x14ac:dyDescent="0.2">
      <c r="A20" s="326"/>
      <c r="B20" s="324"/>
      <c r="C20" s="195">
        <v>290</v>
      </c>
      <c r="D20" s="243">
        <v>0</v>
      </c>
      <c r="E20" s="243">
        <v>0</v>
      </c>
      <c r="F20" s="243">
        <v>0</v>
      </c>
      <c r="G20" s="262">
        <f t="shared" si="2"/>
        <v>0</v>
      </c>
      <c r="H20" s="261">
        <f>ГОРЛЕС!M25/1000/5</f>
        <v>0</v>
      </c>
      <c r="I20" s="285">
        <f t="shared" si="1"/>
        <v>0</v>
      </c>
    </row>
    <row r="21" spans="1:13" s="67" customFormat="1" ht="12" customHeight="1" x14ac:dyDescent="0.2">
      <c r="A21" s="326"/>
      <c r="B21" s="325"/>
      <c r="C21" s="195">
        <v>340</v>
      </c>
      <c r="D21" s="243">
        <v>0</v>
      </c>
      <c r="E21" s="243">
        <v>0</v>
      </c>
      <c r="F21" s="243">
        <f>'прил 2'!C45/5</f>
        <v>22.878269830599997</v>
      </c>
      <c r="G21" s="262">
        <f t="shared" si="2"/>
        <v>22.878269830599997</v>
      </c>
      <c r="H21" s="261">
        <v>0</v>
      </c>
      <c r="I21" s="285">
        <f t="shared" si="1"/>
        <v>22.878269830599997</v>
      </c>
    </row>
    <row r="22" spans="1:13" s="67" customFormat="1" ht="12" customHeight="1" x14ac:dyDescent="0.2">
      <c r="A22" s="326">
        <v>2</v>
      </c>
      <c r="B22" s="328" t="s">
        <v>188</v>
      </c>
      <c r="C22" s="196">
        <v>900</v>
      </c>
      <c r="D22" s="244">
        <f>SUM(D23:D33)</f>
        <v>1859.4387448259997</v>
      </c>
      <c r="E22" s="244">
        <f>SUM(E23:E33)</f>
        <v>177.40316416940001</v>
      </c>
      <c r="F22" s="244">
        <f>SUM(F23:F33)</f>
        <v>2803.2851254306001</v>
      </c>
      <c r="G22" s="262">
        <f>SUM(G23:G33)</f>
        <v>4840.1270344259992</v>
      </c>
      <c r="H22" s="262">
        <f>SUM(H23:H33)</f>
        <v>77.006694600000003</v>
      </c>
      <c r="I22" s="285">
        <f>G22+H22</f>
        <v>4917.1337290259989</v>
      </c>
    </row>
    <row r="23" spans="1:13" s="67" customFormat="1" ht="12" customHeight="1" x14ac:dyDescent="0.2">
      <c r="A23" s="326"/>
      <c r="B23" s="328"/>
      <c r="C23" s="195">
        <v>211</v>
      </c>
      <c r="D23" s="243">
        <f>'прил 1'!H21</f>
        <v>1437.2214629999999</v>
      </c>
      <c r="E23" s="243">
        <v>0</v>
      </c>
      <c r="F23" s="243">
        <f>'прил 1'!H44</f>
        <v>1529.373384</v>
      </c>
      <c r="G23" s="262">
        <f t="shared" ref="G23:G25" si="3">D23+E23+F23</f>
        <v>2966.5948469999998</v>
      </c>
      <c r="H23" s="261">
        <v>0</v>
      </c>
      <c r="I23" s="285">
        <f t="shared" ref="I23:I24" si="4">G23+H23</f>
        <v>2966.5948469999998</v>
      </c>
    </row>
    <row r="24" spans="1:13" s="67" customFormat="1" ht="12" customHeight="1" x14ac:dyDescent="0.2">
      <c r="A24" s="326"/>
      <c r="B24" s="328"/>
      <c r="C24" s="195">
        <v>213</v>
      </c>
      <c r="D24" s="243">
        <f>'прил 1'!H22+2.3+0.8764</f>
        <v>422.21728182599992</v>
      </c>
      <c r="E24" s="243">
        <v>0</v>
      </c>
      <c r="F24" s="243">
        <f>'прил 1'!H45</f>
        <v>458.81201519999996</v>
      </c>
      <c r="G24" s="262">
        <f t="shared" si="3"/>
        <v>881.02929702599988</v>
      </c>
      <c r="H24" s="261">
        <v>0</v>
      </c>
      <c r="I24" s="285">
        <f t="shared" si="4"/>
        <v>881.02929702599988</v>
      </c>
    </row>
    <row r="25" spans="1:13" s="67" customFormat="1" ht="12" customHeight="1" x14ac:dyDescent="0.2">
      <c r="A25" s="326"/>
      <c r="B25" s="328"/>
      <c r="C25" s="195">
        <v>212</v>
      </c>
      <c r="D25" s="243">
        <v>0</v>
      </c>
      <c r="E25" s="243">
        <v>0</v>
      </c>
      <c r="F25" s="243">
        <f t="shared" ref="F25:F29" si="5">F13</f>
        <v>46.542369999999998</v>
      </c>
      <c r="G25" s="262">
        <f t="shared" si="3"/>
        <v>46.542369999999998</v>
      </c>
      <c r="H25" s="261">
        <v>0</v>
      </c>
      <c r="I25" s="285">
        <f>G25+H25</f>
        <v>46.542369999999998</v>
      </c>
    </row>
    <row r="26" spans="1:13" s="67" customFormat="1" ht="12" customHeight="1" x14ac:dyDescent="0.2">
      <c r="A26" s="326"/>
      <c r="B26" s="328"/>
      <c r="C26" s="195">
        <v>221</v>
      </c>
      <c r="D26" s="243">
        <v>0</v>
      </c>
      <c r="E26" s="243">
        <v>0</v>
      </c>
      <c r="F26" s="243">
        <f t="shared" si="5"/>
        <v>8.4480000000000004</v>
      </c>
      <c r="G26" s="262">
        <f>D26+E26+F26</f>
        <v>8.4480000000000004</v>
      </c>
      <c r="H26" s="261">
        <v>0</v>
      </c>
      <c r="I26" s="285">
        <f t="shared" ref="I26:I33" si="6">G26+H26</f>
        <v>8.4480000000000004</v>
      </c>
    </row>
    <row r="27" spans="1:13" s="67" customFormat="1" ht="12" customHeight="1" x14ac:dyDescent="0.2">
      <c r="A27" s="326"/>
      <c r="B27" s="328"/>
      <c r="C27" s="195">
        <v>222</v>
      </c>
      <c r="D27" s="243">
        <v>0</v>
      </c>
      <c r="E27" s="243">
        <v>0</v>
      </c>
      <c r="F27" s="243">
        <f t="shared" si="5"/>
        <v>0</v>
      </c>
      <c r="G27" s="262">
        <f t="shared" ref="G27:G32" si="7">D27+E27+F27</f>
        <v>0</v>
      </c>
      <c r="H27" s="261">
        <v>0</v>
      </c>
      <c r="I27" s="285">
        <f t="shared" si="6"/>
        <v>0</v>
      </c>
    </row>
    <row r="28" spans="1:13" s="67" customFormat="1" ht="12" customHeight="1" x14ac:dyDescent="0.2">
      <c r="A28" s="326"/>
      <c r="B28" s="328"/>
      <c r="C28" s="195">
        <v>310</v>
      </c>
      <c r="D28" s="243">
        <v>0</v>
      </c>
      <c r="E28" s="243">
        <v>0</v>
      </c>
      <c r="F28" s="243">
        <f t="shared" si="5"/>
        <v>70</v>
      </c>
      <c r="G28" s="262">
        <f t="shared" si="7"/>
        <v>70</v>
      </c>
      <c r="H28" s="261">
        <v>0</v>
      </c>
      <c r="I28" s="285">
        <f t="shared" si="6"/>
        <v>70</v>
      </c>
    </row>
    <row r="29" spans="1:13" s="67" customFormat="1" ht="12" customHeight="1" x14ac:dyDescent="0.2">
      <c r="A29" s="326"/>
      <c r="B29" s="328"/>
      <c r="C29" s="195">
        <v>223</v>
      </c>
      <c r="D29" s="243">
        <v>0</v>
      </c>
      <c r="E29" s="243">
        <v>0</v>
      </c>
      <c r="F29" s="243">
        <f t="shared" si="5"/>
        <v>104.42440339999999</v>
      </c>
      <c r="G29" s="262">
        <f t="shared" si="7"/>
        <v>104.42440339999999</v>
      </c>
      <c r="H29" s="261">
        <f>H17</f>
        <v>77.006694600000003</v>
      </c>
      <c r="I29" s="285">
        <f t="shared" si="6"/>
        <v>181.43109799999999</v>
      </c>
    </row>
    <row r="30" spans="1:13" s="67" customFormat="1" ht="12" customHeight="1" x14ac:dyDescent="0.2">
      <c r="A30" s="326"/>
      <c r="B30" s="328"/>
      <c r="C30" s="195">
        <v>225</v>
      </c>
      <c r="D30" s="243">
        <v>0</v>
      </c>
      <c r="E30" s="243">
        <v>0</v>
      </c>
      <c r="F30" s="243">
        <f>F18</f>
        <v>274.21697999999998</v>
      </c>
      <c r="G30" s="262">
        <f t="shared" si="7"/>
        <v>274.21697999999998</v>
      </c>
      <c r="H30" s="261">
        <v>0</v>
      </c>
      <c r="I30" s="285">
        <f t="shared" si="6"/>
        <v>274.21697999999998</v>
      </c>
      <c r="M30" s="67">
        <f>M38</f>
        <v>0</v>
      </c>
    </row>
    <row r="31" spans="1:13" s="67" customFormat="1" ht="12" customHeight="1" x14ac:dyDescent="0.2">
      <c r="A31" s="326"/>
      <c r="B31" s="328"/>
      <c r="C31" s="195">
        <v>226</v>
      </c>
      <c r="D31" s="243">
        <v>0</v>
      </c>
      <c r="E31" s="243">
        <v>0</v>
      </c>
      <c r="F31" s="243">
        <f>ГОРЛЕС!L18/2/1000+ГОРЛЕС!L20/5/1000+(ГОРЛЕС!L16/5/1000)</f>
        <v>288.58970299999999</v>
      </c>
      <c r="G31" s="262">
        <f t="shared" si="7"/>
        <v>288.58970299999999</v>
      </c>
      <c r="H31" s="261">
        <v>0</v>
      </c>
      <c r="I31" s="285">
        <f t="shared" si="6"/>
        <v>288.58970299999999</v>
      </c>
    </row>
    <row r="32" spans="1:13" s="67" customFormat="1" ht="12" customHeight="1" x14ac:dyDescent="0.2">
      <c r="A32" s="326"/>
      <c r="B32" s="328"/>
      <c r="C32" s="195">
        <v>290</v>
      </c>
      <c r="D32" s="243">
        <v>0</v>
      </c>
      <c r="E32" s="243">
        <v>0</v>
      </c>
      <c r="F32" s="243">
        <f>F20</f>
        <v>0</v>
      </c>
      <c r="G32" s="262">
        <f t="shared" si="7"/>
        <v>0</v>
      </c>
      <c r="H32" s="261">
        <f>H20</f>
        <v>0</v>
      </c>
      <c r="I32" s="285">
        <f t="shared" si="6"/>
        <v>0</v>
      </c>
    </row>
    <row r="33" spans="1:11" s="67" customFormat="1" ht="12" customHeight="1" x14ac:dyDescent="0.2">
      <c r="A33" s="326"/>
      <c r="B33" s="328"/>
      <c r="C33" s="195">
        <v>340</v>
      </c>
      <c r="D33" s="243">
        <v>0</v>
      </c>
      <c r="E33" s="243">
        <f>('прил 2'!C15)*20%</f>
        <v>177.40316416940001</v>
      </c>
      <c r="F33" s="243">
        <f>F21</f>
        <v>22.878269830599997</v>
      </c>
      <c r="G33" s="262">
        <f>G21+E33</f>
        <v>200.28143400000002</v>
      </c>
      <c r="H33" s="261">
        <f>H21</f>
        <v>0</v>
      </c>
      <c r="I33" s="285">
        <f t="shared" si="6"/>
        <v>200.28143400000002</v>
      </c>
    </row>
    <row r="34" spans="1:11" s="112" customFormat="1" ht="12" customHeight="1" x14ac:dyDescent="0.2">
      <c r="A34" s="326">
        <v>3</v>
      </c>
      <c r="B34" s="328" t="s">
        <v>169</v>
      </c>
      <c r="C34" s="196">
        <v>900</v>
      </c>
      <c r="D34" s="244">
        <f>SUM(D35:D45)</f>
        <v>1711.2387448259997</v>
      </c>
      <c r="E34" s="244">
        <f t="shared" ref="E34:I34" si="8">SUM(E35:E45)</f>
        <v>310.45553729644996</v>
      </c>
      <c r="F34" s="244">
        <f>SUM(F35:F45)</f>
        <v>1252.7809504305999</v>
      </c>
      <c r="G34" s="262">
        <f t="shared" si="8"/>
        <v>3274.4752325530499</v>
      </c>
      <c r="H34" s="262">
        <f t="shared" si="8"/>
        <v>77.006694600000003</v>
      </c>
      <c r="I34" s="285">
        <f t="shared" si="8"/>
        <v>3351.48192715305</v>
      </c>
      <c r="K34" s="113"/>
    </row>
    <row r="35" spans="1:11" s="112" customFormat="1" ht="12" customHeight="1" x14ac:dyDescent="0.2">
      <c r="A35" s="326"/>
      <c r="B35" s="328"/>
      <c r="C35" s="195">
        <v>211</v>
      </c>
      <c r="D35" s="243">
        <f>'прил 1'!J21</f>
        <v>1289.0214629999998</v>
      </c>
      <c r="E35" s="243">
        <v>0</v>
      </c>
      <c r="F35" s="243">
        <f>'прил 1'!J44</f>
        <v>344.06618400000002</v>
      </c>
      <c r="G35" s="260">
        <f t="shared" ref="G35:G44" si="9">D35+E35+F35</f>
        <v>1633.0876469999998</v>
      </c>
      <c r="H35" s="261">
        <v>0</v>
      </c>
      <c r="I35" s="285">
        <f>G35+H35</f>
        <v>1633.0876469999998</v>
      </c>
      <c r="J35" s="113"/>
      <c r="K35" s="113"/>
    </row>
    <row r="36" spans="1:11" s="112" customFormat="1" ht="12" customHeight="1" x14ac:dyDescent="0.2">
      <c r="A36" s="326"/>
      <c r="B36" s="328"/>
      <c r="C36" s="195">
        <v>213</v>
      </c>
      <c r="D36" s="243">
        <f>'прил 1'!J22+2.3+0.8764</f>
        <v>422.21728182599992</v>
      </c>
      <c r="E36" s="243">
        <v>0</v>
      </c>
      <c r="F36" s="243">
        <f>'прил 1'!J45</f>
        <v>103.2198552</v>
      </c>
      <c r="G36" s="260">
        <f t="shared" si="9"/>
        <v>525.43713702599996</v>
      </c>
      <c r="H36" s="261">
        <v>0</v>
      </c>
      <c r="I36" s="285">
        <f t="shared" ref="I36:I45" si="10">G36+H36</f>
        <v>525.43713702599996</v>
      </c>
      <c r="J36" s="113"/>
      <c r="K36" s="113"/>
    </row>
    <row r="37" spans="1:11" s="112" customFormat="1" ht="12" customHeight="1" x14ac:dyDescent="0.2">
      <c r="A37" s="326"/>
      <c r="B37" s="328"/>
      <c r="C37" s="195">
        <v>212</v>
      </c>
      <c r="D37" s="240">
        <v>0</v>
      </c>
      <c r="E37" s="243">
        <v>0</v>
      </c>
      <c r="F37" s="243">
        <f>F13</f>
        <v>46.542369999999998</v>
      </c>
      <c r="G37" s="260">
        <f t="shared" si="9"/>
        <v>46.542369999999998</v>
      </c>
      <c r="H37" s="261">
        <v>0</v>
      </c>
      <c r="I37" s="285">
        <f t="shared" si="10"/>
        <v>46.542369999999998</v>
      </c>
      <c r="J37" s="113"/>
      <c r="K37" s="113"/>
    </row>
    <row r="38" spans="1:11" s="112" customFormat="1" ht="12" customHeight="1" x14ac:dyDescent="0.2">
      <c r="A38" s="326"/>
      <c r="B38" s="328"/>
      <c r="C38" s="69">
        <v>221</v>
      </c>
      <c r="D38" s="240">
        <v>0</v>
      </c>
      <c r="E38" s="240">
        <v>0</v>
      </c>
      <c r="F38" s="243">
        <f>F14</f>
        <v>8.4480000000000004</v>
      </c>
      <c r="G38" s="260">
        <f t="shared" si="9"/>
        <v>8.4480000000000004</v>
      </c>
      <c r="H38" s="263">
        <v>0</v>
      </c>
      <c r="I38" s="285">
        <f t="shared" si="10"/>
        <v>8.4480000000000004</v>
      </c>
      <c r="K38" s="113"/>
    </row>
    <row r="39" spans="1:11" s="112" customFormat="1" ht="12" customHeight="1" x14ac:dyDescent="0.2">
      <c r="A39" s="326"/>
      <c r="B39" s="328"/>
      <c r="C39" s="69">
        <v>222</v>
      </c>
      <c r="D39" s="240">
        <v>0</v>
      </c>
      <c r="E39" s="240">
        <v>0</v>
      </c>
      <c r="F39" s="243">
        <f>F27</f>
        <v>0</v>
      </c>
      <c r="G39" s="260">
        <f t="shared" si="9"/>
        <v>0</v>
      </c>
      <c r="H39" s="263">
        <v>0</v>
      </c>
      <c r="I39" s="285">
        <f t="shared" si="10"/>
        <v>0</v>
      </c>
      <c r="K39" s="113"/>
    </row>
    <row r="40" spans="1:11" s="112" customFormat="1" ht="12" customHeight="1" x14ac:dyDescent="0.2">
      <c r="A40" s="326"/>
      <c r="B40" s="328"/>
      <c r="C40" s="69">
        <v>310</v>
      </c>
      <c r="D40" s="240">
        <v>0</v>
      </c>
      <c r="E40" s="240">
        <v>0</v>
      </c>
      <c r="F40" s="243">
        <f>F28</f>
        <v>70</v>
      </c>
      <c r="G40" s="260">
        <f t="shared" si="9"/>
        <v>70</v>
      </c>
      <c r="H40" s="263">
        <v>0</v>
      </c>
      <c r="I40" s="285">
        <f t="shared" si="10"/>
        <v>70</v>
      </c>
      <c r="K40" s="113"/>
    </row>
    <row r="41" spans="1:11" s="112" customFormat="1" ht="12" customHeight="1" x14ac:dyDescent="0.2">
      <c r="A41" s="326"/>
      <c r="B41" s="328"/>
      <c r="C41" s="69">
        <v>223</v>
      </c>
      <c r="D41" s="240">
        <v>0</v>
      </c>
      <c r="E41" s="240">
        <v>0</v>
      </c>
      <c r="F41" s="243">
        <f>F17</f>
        <v>104.42440339999999</v>
      </c>
      <c r="G41" s="260">
        <f t="shared" si="9"/>
        <v>104.42440339999999</v>
      </c>
      <c r="H41" s="263">
        <f>H29</f>
        <v>77.006694600000003</v>
      </c>
      <c r="I41" s="285">
        <f t="shared" si="10"/>
        <v>181.43109799999999</v>
      </c>
      <c r="K41" s="113"/>
    </row>
    <row r="42" spans="1:11" s="112" customFormat="1" ht="12" customHeight="1" x14ac:dyDescent="0.2">
      <c r="A42" s="326"/>
      <c r="B42" s="328"/>
      <c r="C42" s="69">
        <v>225</v>
      </c>
      <c r="D42" s="240">
        <v>0</v>
      </c>
      <c r="E42" s="240">
        <v>0</v>
      </c>
      <c r="F42" s="243">
        <f>F18</f>
        <v>274.21697999999998</v>
      </c>
      <c r="G42" s="260">
        <f t="shared" si="9"/>
        <v>274.21697999999998</v>
      </c>
      <c r="H42" s="263">
        <v>0</v>
      </c>
      <c r="I42" s="285">
        <f t="shared" si="10"/>
        <v>274.21697999999998</v>
      </c>
      <c r="K42" s="113"/>
    </row>
    <row r="43" spans="1:11" s="112" customFormat="1" ht="12" customHeight="1" x14ac:dyDescent="0.2">
      <c r="A43" s="326"/>
      <c r="B43" s="328"/>
      <c r="C43" s="69">
        <v>226</v>
      </c>
      <c r="D43" s="240">
        <v>0</v>
      </c>
      <c r="E43" s="240">
        <v>0</v>
      </c>
      <c r="F43" s="243">
        <f>ГОРЛЕС!L20/5/1000+(ГОРЛЕС!L16/5/1000)</f>
        <v>278.98488799999996</v>
      </c>
      <c r="G43" s="260">
        <f t="shared" si="9"/>
        <v>278.98488799999996</v>
      </c>
      <c r="H43" s="263">
        <v>0</v>
      </c>
      <c r="I43" s="285">
        <f t="shared" si="10"/>
        <v>278.98488799999996</v>
      </c>
      <c r="K43" s="113"/>
    </row>
    <row r="44" spans="1:11" s="112" customFormat="1" ht="12" customHeight="1" x14ac:dyDescent="0.2">
      <c r="A44" s="326"/>
      <c r="B44" s="328"/>
      <c r="C44" s="69">
        <v>290</v>
      </c>
      <c r="D44" s="240">
        <v>0</v>
      </c>
      <c r="E44" s="240">
        <v>0</v>
      </c>
      <c r="F44" s="243">
        <f>F20</f>
        <v>0</v>
      </c>
      <c r="G44" s="260">
        <f t="shared" si="9"/>
        <v>0</v>
      </c>
      <c r="H44" s="263">
        <f>H32</f>
        <v>0</v>
      </c>
      <c r="I44" s="285">
        <f t="shared" si="10"/>
        <v>0</v>
      </c>
      <c r="K44" s="113"/>
    </row>
    <row r="45" spans="1:11" s="112" customFormat="1" ht="12" customHeight="1" x14ac:dyDescent="0.2">
      <c r="A45" s="326"/>
      <c r="B45" s="328"/>
      <c r="C45" s="69">
        <v>340</v>
      </c>
      <c r="D45" s="240">
        <v>0</v>
      </c>
      <c r="E45" s="240">
        <f>('прил 2'!C15)*35%</f>
        <v>310.45553729644996</v>
      </c>
      <c r="F45" s="243">
        <f>F21</f>
        <v>22.878269830599997</v>
      </c>
      <c r="G45" s="260">
        <f>G21+E45</f>
        <v>333.33380712704997</v>
      </c>
      <c r="H45" s="263">
        <v>0</v>
      </c>
      <c r="I45" s="285">
        <f t="shared" si="10"/>
        <v>333.33380712704997</v>
      </c>
      <c r="K45" s="113"/>
    </row>
    <row r="46" spans="1:11" s="112" customFormat="1" ht="12" customHeight="1" x14ac:dyDescent="0.2">
      <c r="A46" s="320">
        <v>4</v>
      </c>
      <c r="B46" s="323" t="s">
        <v>173</v>
      </c>
      <c r="C46" s="111">
        <v>900</v>
      </c>
      <c r="D46" s="242">
        <f t="shared" ref="D46" si="11">SUM(D47:D57)</f>
        <v>0</v>
      </c>
      <c r="E46" s="242">
        <f t="shared" ref="E46:I46" si="12">SUM(E47:E57)</f>
        <v>44.350791042350004</v>
      </c>
      <c r="F46" s="244">
        <f>SUM(F47:F57)</f>
        <v>1252.7809504305999</v>
      </c>
      <c r="G46" s="260">
        <f t="shared" si="12"/>
        <v>1297.1317414729499</v>
      </c>
      <c r="H46" s="260">
        <f t="shared" si="12"/>
        <v>77.006694600000003</v>
      </c>
      <c r="I46" s="285">
        <f t="shared" si="12"/>
        <v>1374.1384360729498</v>
      </c>
      <c r="K46" s="113"/>
    </row>
    <row r="47" spans="1:11" s="112" customFormat="1" ht="12" customHeight="1" x14ac:dyDescent="0.2">
      <c r="A47" s="321"/>
      <c r="B47" s="324"/>
      <c r="C47" s="69">
        <v>211</v>
      </c>
      <c r="D47" s="240">
        <v>0</v>
      </c>
      <c r="E47" s="240">
        <v>0</v>
      </c>
      <c r="F47" s="240">
        <f>F35</f>
        <v>344.06618400000002</v>
      </c>
      <c r="G47" s="260">
        <f t="shared" ref="G47:G57" si="13">D47+E47+F47</f>
        <v>344.06618400000002</v>
      </c>
      <c r="H47" s="263">
        <v>0</v>
      </c>
      <c r="I47" s="285">
        <f>G47+H47</f>
        <v>344.06618400000002</v>
      </c>
      <c r="K47" s="113"/>
    </row>
    <row r="48" spans="1:11" s="112" customFormat="1" ht="12" customHeight="1" x14ac:dyDescent="0.2">
      <c r="A48" s="321"/>
      <c r="B48" s="324"/>
      <c r="C48" s="69">
        <v>213</v>
      </c>
      <c r="D48" s="240">
        <v>0</v>
      </c>
      <c r="E48" s="240">
        <v>0</v>
      </c>
      <c r="F48" s="240">
        <f>'прил 1'!L45</f>
        <v>103.2198552</v>
      </c>
      <c r="G48" s="260">
        <f t="shared" si="13"/>
        <v>103.2198552</v>
      </c>
      <c r="H48" s="263">
        <v>0</v>
      </c>
      <c r="I48" s="285">
        <f t="shared" ref="I48:I57" si="14">G48+H48</f>
        <v>103.2198552</v>
      </c>
      <c r="K48" s="113"/>
    </row>
    <row r="49" spans="1:13" s="112" customFormat="1" ht="12" customHeight="1" x14ac:dyDescent="0.2">
      <c r="A49" s="321"/>
      <c r="B49" s="324"/>
      <c r="C49" s="69">
        <v>212</v>
      </c>
      <c r="D49" s="240">
        <v>0</v>
      </c>
      <c r="E49" s="240">
        <f>E13</f>
        <v>0</v>
      </c>
      <c r="F49" s="243">
        <f>F13</f>
        <v>46.542369999999998</v>
      </c>
      <c r="G49" s="260">
        <f t="shared" si="13"/>
        <v>46.542369999999998</v>
      </c>
      <c r="H49" s="263">
        <v>0</v>
      </c>
      <c r="I49" s="285">
        <f t="shared" si="14"/>
        <v>46.542369999999998</v>
      </c>
      <c r="K49" s="113"/>
    </row>
    <row r="50" spans="1:13" s="112" customFormat="1" ht="12" customHeight="1" x14ac:dyDescent="0.2">
      <c r="A50" s="321"/>
      <c r="B50" s="324"/>
      <c r="C50" s="69">
        <v>221</v>
      </c>
      <c r="D50" s="240">
        <v>0</v>
      </c>
      <c r="E50" s="240">
        <f>E14</f>
        <v>0</v>
      </c>
      <c r="F50" s="243">
        <f>F14</f>
        <v>8.4480000000000004</v>
      </c>
      <c r="G50" s="260">
        <f t="shared" si="13"/>
        <v>8.4480000000000004</v>
      </c>
      <c r="H50" s="263">
        <v>0</v>
      </c>
      <c r="I50" s="285">
        <f t="shared" si="14"/>
        <v>8.4480000000000004</v>
      </c>
      <c r="K50" s="113"/>
    </row>
    <row r="51" spans="1:13" s="112" customFormat="1" ht="12" customHeight="1" x14ac:dyDescent="0.2">
      <c r="A51" s="321"/>
      <c r="B51" s="324"/>
      <c r="C51" s="69">
        <v>222</v>
      </c>
      <c r="D51" s="240">
        <v>0</v>
      </c>
      <c r="E51" s="240">
        <f>E15</f>
        <v>0</v>
      </c>
      <c r="F51" s="243">
        <f>F27</f>
        <v>0</v>
      </c>
      <c r="G51" s="260">
        <f t="shared" si="13"/>
        <v>0</v>
      </c>
      <c r="H51" s="263">
        <v>0</v>
      </c>
      <c r="I51" s="285">
        <f t="shared" si="14"/>
        <v>0</v>
      </c>
      <c r="K51" s="113"/>
    </row>
    <row r="52" spans="1:13" s="112" customFormat="1" ht="12" customHeight="1" x14ac:dyDescent="0.2">
      <c r="A52" s="321"/>
      <c r="B52" s="324"/>
      <c r="C52" s="69">
        <v>310</v>
      </c>
      <c r="D52" s="240">
        <v>0</v>
      </c>
      <c r="E52" s="240">
        <f>E16</f>
        <v>0</v>
      </c>
      <c r="F52" s="243">
        <f>F28</f>
        <v>70</v>
      </c>
      <c r="G52" s="260">
        <f t="shared" si="13"/>
        <v>70</v>
      </c>
      <c r="H52" s="263">
        <v>0</v>
      </c>
      <c r="I52" s="285">
        <f t="shared" si="14"/>
        <v>70</v>
      </c>
      <c r="K52" s="113"/>
    </row>
    <row r="53" spans="1:13" s="112" customFormat="1" ht="12" customHeight="1" x14ac:dyDescent="0.2">
      <c r="A53" s="321"/>
      <c r="B53" s="324"/>
      <c r="C53" s="69">
        <v>223</v>
      </c>
      <c r="D53" s="243">
        <v>0</v>
      </c>
      <c r="E53" s="243">
        <f>E17</f>
        <v>0</v>
      </c>
      <c r="F53" s="243">
        <f>F17</f>
        <v>104.42440339999999</v>
      </c>
      <c r="G53" s="262">
        <f t="shared" si="13"/>
        <v>104.42440339999999</v>
      </c>
      <c r="H53" s="263">
        <f>H17</f>
        <v>77.006694600000003</v>
      </c>
      <c r="I53" s="285">
        <f t="shared" si="14"/>
        <v>181.43109799999999</v>
      </c>
      <c r="K53" s="113"/>
    </row>
    <row r="54" spans="1:13" s="112" customFormat="1" ht="12" customHeight="1" x14ac:dyDescent="0.2">
      <c r="A54" s="321"/>
      <c r="B54" s="324"/>
      <c r="C54" s="69">
        <v>225</v>
      </c>
      <c r="D54" s="243">
        <v>0</v>
      </c>
      <c r="E54" s="243">
        <f>E18</f>
        <v>0</v>
      </c>
      <c r="F54" s="243">
        <f>F18</f>
        <v>274.21697999999998</v>
      </c>
      <c r="G54" s="262">
        <f t="shared" si="13"/>
        <v>274.21697999999998</v>
      </c>
      <c r="H54" s="263">
        <v>0</v>
      </c>
      <c r="I54" s="285">
        <f t="shared" si="14"/>
        <v>274.21697999999998</v>
      </c>
      <c r="K54" s="113"/>
    </row>
    <row r="55" spans="1:13" s="112" customFormat="1" ht="12" customHeight="1" x14ac:dyDescent="0.2">
      <c r="A55" s="321"/>
      <c r="B55" s="324"/>
      <c r="C55" s="69">
        <v>226</v>
      </c>
      <c r="D55" s="243">
        <v>0</v>
      </c>
      <c r="E55" s="243">
        <v>0</v>
      </c>
      <c r="F55" s="243">
        <f>ГОРЛЕС!L20/5/1000+ГОРЛЕС!L16/5/1000</f>
        <v>278.98488799999996</v>
      </c>
      <c r="G55" s="262">
        <f t="shared" si="13"/>
        <v>278.98488799999996</v>
      </c>
      <c r="H55" s="263">
        <v>0</v>
      </c>
      <c r="I55" s="285">
        <f t="shared" si="14"/>
        <v>278.98488799999996</v>
      </c>
      <c r="K55" s="113"/>
    </row>
    <row r="56" spans="1:13" s="112" customFormat="1" ht="12" customHeight="1" x14ac:dyDescent="0.2">
      <c r="A56" s="321"/>
      <c r="B56" s="324"/>
      <c r="C56" s="69">
        <v>290</v>
      </c>
      <c r="D56" s="243">
        <v>0</v>
      </c>
      <c r="E56" s="243">
        <f>E20</f>
        <v>0</v>
      </c>
      <c r="F56" s="243">
        <f>F20</f>
        <v>0</v>
      </c>
      <c r="G56" s="262">
        <f t="shared" si="13"/>
        <v>0</v>
      </c>
      <c r="H56" s="263">
        <f>H20</f>
        <v>0</v>
      </c>
      <c r="I56" s="285">
        <f t="shared" si="14"/>
        <v>0</v>
      </c>
      <c r="K56" s="113"/>
    </row>
    <row r="57" spans="1:13" s="112" customFormat="1" ht="12" customHeight="1" x14ac:dyDescent="0.2">
      <c r="A57" s="322"/>
      <c r="B57" s="325"/>
      <c r="C57" s="69">
        <v>340</v>
      </c>
      <c r="D57" s="243">
        <v>0</v>
      </c>
      <c r="E57" s="243">
        <f>('прил 2'!C15)*5%</f>
        <v>44.350791042350004</v>
      </c>
      <c r="F57" s="243">
        <f>F21</f>
        <v>22.878269830599997</v>
      </c>
      <c r="G57" s="262">
        <f t="shared" si="13"/>
        <v>67.229060872950001</v>
      </c>
      <c r="H57" s="263">
        <v>0</v>
      </c>
      <c r="I57" s="285">
        <f t="shared" si="14"/>
        <v>67.229060872950001</v>
      </c>
      <c r="K57" s="113"/>
    </row>
    <row r="58" spans="1:13" s="112" customFormat="1" ht="12" customHeight="1" x14ac:dyDescent="0.2">
      <c r="A58" s="320">
        <v>5</v>
      </c>
      <c r="B58" s="323" t="s">
        <v>189</v>
      </c>
      <c r="C58" s="111">
        <v>900</v>
      </c>
      <c r="D58" s="244">
        <f>SUM(D59:D69)</f>
        <v>2173.9940984569998</v>
      </c>
      <c r="E58" s="244">
        <f t="shared" ref="E58:I58" si="15">SUM(E59:E69)</f>
        <v>354.80632833880003</v>
      </c>
      <c r="F58" s="244">
        <f>SUM(F59:F69)</f>
        <v>2036.0118454305998</v>
      </c>
      <c r="G58" s="262">
        <f t="shared" si="15"/>
        <v>4564.8122722263997</v>
      </c>
      <c r="H58" s="260">
        <f>SUM(H59:H69)</f>
        <v>77.006694600000003</v>
      </c>
      <c r="I58" s="285">
        <f t="shared" si="15"/>
        <v>4641.8189668264004</v>
      </c>
      <c r="K58" s="113"/>
      <c r="M58" s="113"/>
    </row>
    <row r="59" spans="1:13" s="112" customFormat="1" ht="12" customHeight="1" x14ac:dyDescent="0.2">
      <c r="A59" s="321"/>
      <c r="B59" s="324"/>
      <c r="C59" s="69">
        <v>211</v>
      </c>
      <c r="D59" s="243">
        <f>'прил 1'!N21</f>
        <v>1681.6544534999998</v>
      </c>
      <c r="E59" s="243">
        <v>0</v>
      </c>
      <c r="F59" s="243">
        <f>'прил 1'!N44</f>
        <v>936.719784</v>
      </c>
      <c r="G59" s="260">
        <f t="shared" ref="G59:G69" si="16">D59+E59+F59</f>
        <v>2618.3742374999997</v>
      </c>
      <c r="H59" s="263">
        <v>0</v>
      </c>
      <c r="I59" s="285">
        <f>G59+H59</f>
        <v>2618.3742374999997</v>
      </c>
      <c r="K59" s="113"/>
    </row>
    <row r="60" spans="1:13" s="112" customFormat="1" ht="12" customHeight="1" x14ac:dyDescent="0.2">
      <c r="A60" s="321"/>
      <c r="B60" s="324"/>
      <c r="C60" s="69">
        <v>213</v>
      </c>
      <c r="D60" s="243">
        <f>'прил 1'!N22+2.3+0.88</f>
        <v>492.33964495699996</v>
      </c>
      <c r="E60" s="243">
        <v>0</v>
      </c>
      <c r="F60" s="243">
        <f>'прил 1'!N45+2.3+0.8764</f>
        <v>284.1923352</v>
      </c>
      <c r="G60" s="260">
        <f t="shared" si="16"/>
        <v>776.53198015699991</v>
      </c>
      <c r="H60" s="263">
        <v>0</v>
      </c>
      <c r="I60" s="285">
        <f t="shared" ref="I60:I69" si="17">G60+H60</f>
        <v>776.53198015699991</v>
      </c>
      <c r="K60" s="113"/>
    </row>
    <row r="61" spans="1:13" s="112" customFormat="1" ht="12" customHeight="1" x14ac:dyDescent="0.2">
      <c r="A61" s="321"/>
      <c r="B61" s="324"/>
      <c r="C61" s="69">
        <v>212</v>
      </c>
      <c r="D61" s="240">
        <v>0</v>
      </c>
      <c r="E61" s="243">
        <f t="shared" ref="E61:E66" si="18">E25</f>
        <v>0</v>
      </c>
      <c r="F61" s="243">
        <f>F13</f>
        <v>46.542369999999998</v>
      </c>
      <c r="G61" s="260">
        <f t="shared" si="16"/>
        <v>46.542369999999998</v>
      </c>
      <c r="H61" s="263">
        <v>0</v>
      </c>
      <c r="I61" s="285">
        <f>G61+H61</f>
        <v>46.542369999999998</v>
      </c>
      <c r="K61" s="113"/>
    </row>
    <row r="62" spans="1:13" s="112" customFormat="1" ht="12" customHeight="1" x14ac:dyDescent="0.2">
      <c r="A62" s="321"/>
      <c r="B62" s="324"/>
      <c r="C62" s="69">
        <v>221</v>
      </c>
      <c r="D62" s="240">
        <v>0</v>
      </c>
      <c r="E62" s="243">
        <f t="shared" si="18"/>
        <v>0</v>
      </c>
      <c r="F62" s="243">
        <f>F14</f>
        <v>8.4480000000000004</v>
      </c>
      <c r="G62" s="260">
        <f t="shared" si="16"/>
        <v>8.4480000000000004</v>
      </c>
      <c r="H62" s="263">
        <v>0</v>
      </c>
      <c r="I62" s="285">
        <f t="shared" si="17"/>
        <v>8.4480000000000004</v>
      </c>
      <c r="K62" s="113"/>
    </row>
    <row r="63" spans="1:13" s="112" customFormat="1" ht="12" customHeight="1" x14ac:dyDescent="0.2">
      <c r="A63" s="321"/>
      <c r="B63" s="324"/>
      <c r="C63" s="69">
        <v>222</v>
      </c>
      <c r="D63" s="240">
        <v>0</v>
      </c>
      <c r="E63" s="240">
        <f t="shared" si="18"/>
        <v>0</v>
      </c>
      <c r="F63" s="243">
        <f>F27</f>
        <v>0</v>
      </c>
      <c r="G63" s="260">
        <f t="shared" si="16"/>
        <v>0</v>
      </c>
      <c r="H63" s="263">
        <v>0</v>
      </c>
      <c r="I63" s="285">
        <f>G63+H63</f>
        <v>0</v>
      </c>
      <c r="K63" s="113"/>
    </row>
    <row r="64" spans="1:13" s="112" customFormat="1" ht="12" customHeight="1" x14ac:dyDescent="0.2">
      <c r="A64" s="321"/>
      <c r="B64" s="324"/>
      <c r="C64" s="69">
        <v>310</v>
      </c>
      <c r="D64" s="240">
        <v>0</v>
      </c>
      <c r="E64" s="240">
        <f t="shared" si="18"/>
        <v>0</v>
      </c>
      <c r="F64" s="243">
        <f>F28</f>
        <v>70</v>
      </c>
      <c r="G64" s="260">
        <f t="shared" si="16"/>
        <v>70</v>
      </c>
      <c r="H64" s="263">
        <v>0</v>
      </c>
      <c r="I64" s="285">
        <f>G64+H64</f>
        <v>70</v>
      </c>
      <c r="K64" s="113"/>
    </row>
    <row r="65" spans="1:13" s="112" customFormat="1" ht="12" customHeight="1" x14ac:dyDescent="0.2">
      <c r="A65" s="321"/>
      <c r="B65" s="324"/>
      <c r="C65" s="69">
        <v>223</v>
      </c>
      <c r="D65" s="243">
        <v>0</v>
      </c>
      <c r="E65" s="243">
        <f t="shared" si="18"/>
        <v>0</v>
      </c>
      <c r="F65" s="243">
        <f>F17</f>
        <v>104.42440339999999</v>
      </c>
      <c r="G65" s="262">
        <f t="shared" si="16"/>
        <v>104.42440339999999</v>
      </c>
      <c r="H65" s="261">
        <f>H17</f>
        <v>77.006694600000003</v>
      </c>
      <c r="I65" s="286">
        <f t="shared" si="17"/>
        <v>181.43109799999999</v>
      </c>
      <c r="K65" s="113"/>
    </row>
    <row r="66" spans="1:13" s="112" customFormat="1" ht="12" customHeight="1" x14ac:dyDescent="0.2">
      <c r="A66" s="321"/>
      <c r="B66" s="324"/>
      <c r="C66" s="69">
        <v>225</v>
      </c>
      <c r="D66" s="243">
        <v>0</v>
      </c>
      <c r="E66" s="243">
        <f t="shared" si="18"/>
        <v>0</v>
      </c>
      <c r="F66" s="243">
        <f>F18</f>
        <v>274.21697999999998</v>
      </c>
      <c r="G66" s="262">
        <f t="shared" si="16"/>
        <v>274.21697999999998</v>
      </c>
      <c r="H66" s="261">
        <v>0</v>
      </c>
      <c r="I66" s="286">
        <f t="shared" si="17"/>
        <v>274.21697999999998</v>
      </c>
      <c r="K66" s="113"/>
    </row>
    <row r="67" spans="1:13" s="112" customFormat="1" ht="12" customHeight="1" x14ac:dyDescent="0.2">
      <c r="A67" s="321"/>
      <c r="B67" s="324"/>
      <c r="C67" s="69">
        <v>226</v>
      </c>
      <c r="D67" s="243">
        <v>0</v>
      </c>
      <c r="E67" s="243">
        <v>0</v>
      </c>
      <c r="F67" s="243">
        <f>ГОРЛЕС!L20/5/1000+ГОРЛЕС!L18/2/1000+(ГОРЛЕС!L16/5/1000)</f>
        <v>288.58970299999999</v>
      </c>
      <c r="G67" s="262">
        <f t="shared" si="16"/>
        <v>288.58970299999999</v>
      </c>
      <c r="H67" s="261">
        <v>0</v>
      </c>
      <c r="I67" s="286">
        <f t="shared" si="17"/>
        <v>288.58970299999999</v>
      </c>
      <c r="K67" s="113"/>
    </row>
    <row r="68" spans="1:13" s="112" customFormat="1" ht="12" customHeight="1" x14ac:dyDescent="0.2">
      <c r="A68" s="321"/>
      <c r="B68" s="324"/>
      <c r="C68" s="69">
        <v>290</v>
      </c>
      <c r="D68" s="243">
        <v>0</v>
      </c>
      <c r="E68" s="243">
        <f>E32</f>
        <v>0</v>
      </c>
      <c r="F68" s="243">
        <f>F20</f>
        <v>0</v>
      </c>
      <c r="G68" s="262">
        <f t="shared" si="16"/>
        <v>0</v>
      </c>
      <c r="H68" s="261">
        <f>H20</f>
        <v>0</v>
      </c>
      <c r="I68" s="286">
        <f t="shared" si="17"/>
        <v>0</v>
      </c>
      <c r="K68" s="113"/>
    </row>
    <row r="69" spans="1:13" s="112" customFormat="1" ht="12" customHeight="1" x14ac:dyDescent="0.2">
      <c r="A69" s="322"/>
      <c r="B69" s="325"/>
      <c r="C69" s="69">
        <v>340</v>
      </c>
      <c r="D69" s="243">
        <v>0</v>
      </c>
      <c r="E69" s="243">
        <f>('прил 2'!C15)*40%</f>
        <v>354.80632833880003</v>
      </c>
      <c r="F69" s="243">
        <f>F57</f>
        <v>22.878269830599997</v>
      </c>
      <c r="G69" s="262">
        <f t="shared" si="16"/>
        <v>377.68459816940003</v>
      </c>
      <c r="H69" s="261">
        <v>0</v>
      </c>
      <c r="I69" s="286">
        <f t="shared" si="17"/>
        <v>377.68459816940003</v>
      </c>
      <c r="K69" s="113"/>
    </row>
    <row r="70" spans="1:13" s="112" customFormat="1" ht="12" customHeight="1" x14ac:dyDescent="0.2">
      <c r="A70" s="326"/>
      <c r="B70" s="328" t="s">
        <v>139</v>
      </c>
      <c r="C70" s="111">
        <v>900</v>
      </c>
      <c r="D70" s="244">
        <f>SUM(D71:D81)</f>
        <v>5791.0751494200003</v>
      </c>
      <c r="E70" s="244">
        <f t="shared" ref="E70:F70" si="19">SUM(E71:E81)</f>
        <v>887.01582084699999</v>
      </c>
      <c r="F70" s="244">
        <f t="shared" si="19"/>
        <v>8600.2418221529988</v>
      </c>
      <c r="G70" s="262">
        <f>SUM(G71:G81)</f>
        <v>15278.33279242</v>
      </c>
      <c r="H70" s="262">
        <f>SUM(H71:H81)</f>
        <v>385.03347300000001</v>
      </c>
      <c r="I70" s="262">
        <f>SUM(I71:I81)</f>
        <v>15663.36626542</v>
      </c>
      <c r="J70" s="113"/>
      <c r="K70" s="113">
        <f>I70*1000*1000</f>
        <v>15663366265.42</v>
      </c>
      <c r="L70" s="113"/>
      <c r="M70" s="113"/>
    </row>
    <row r="71" spans="1:13" s="112" customFormat="1" ht="12" customHeight="1" x14ac:dyDescent="0.2">
      <c r="A71" s="326"/>
      <c r="B71" s="328"/>
      <c r="C71" s="69">
        <v>211</v>
      </c>
      <c r="D71" s="244">
        <f t="shared" ref="D71" si="20">D11+D23+D35+D47+D59</f>
        <v>4444.9382100000003</v>
      </c>
      <c r="E71" s="244">
        <f>E11+E23+E35+E47+E59</f>
        <v>0</v>
      </c>
      <c r="F71" s="244">
        <f t="shared" ref="F71:F72" si="21">F11+F23+F35+F47+F59</f>
        <v>3498.2917200000002</v>
      </c>
      <c r="G71" s="262">
        <f>G11+G23+G35+G47+G59</f>
        <v>7943.2299299999995</v>
      </c>
      <c r="H71" s="262">
        <f>H11+H23+H35+H47+H59</f>
        <v>0</v>
      </c>
      <c r="I71" s="262">
        <f>G71+H71</f>
        <v>7943.2299299999995</v>
      </c>
      <c r="J71" s="113"/>
      <c r="K71" s="113">
        <v>7943.19</v>
      </c>
      <c r="L71" s="284">
        <f>K71-I71</f>
        <v>-3.992999999991298E-2</v>
      </c>
    </row>
    <row r="72" spans="1:13" s="112" customFormat="1" ht="12" customHeight="1" x14ac:dyDescent="0.2">
      <c r="A72" s="326"/>
      <c r="B72" s="328"/>
      <c r="C72" s="69">
        <v>213</v>
      </c>
      <c r="D72" s="244">
        <f t="shared" ref="D72" si="22">D12+D24+D36+D48+D60</f>
        <v>1346.1369394199999</v>
      </c>
      <c r="E72" s="244">
        <f t="shared" ref="D72:H81" si="23">E12+E24+E36+E48+E60</f>
        <v>0</v>
      </c>
      <c r="F72" s="244">
        <f t="shared" si="21"/>
        <v>1052.663916</v>
      </c>
      <c r="G72" s="262">
        <f>G12+G24+G36+G48+G60</f>
        <v>2398.8008554199996</v>
      </c>
      <c r="H72" s="262">
        <f t="shared" si="23"/>
        <v>0</v>
      </c>
      <c r="I72" s="262">
        <f>G72+H72</f>
        <v>2398.8008554199996</v>
      </c>
      <c r="J72" s="113"/>
      <c r="K72" s="113">
        <v>2398.84</v>
      </c>
      <c r="L72" s="113">
        <f>K72-I72</f>
        <v>3.9144580000538554E-2</v>
      </c>
      <c r="M72" s="270">
        <f>L72/5</f>
        <v>7.8289160001077107E-3</v>
      </c>
    </row>
    <row r="73" spans="1:13" s="112" customFormat="1" ht="12" customHeight="1" x14ac:dyDescent="0.2">
      <c r="A73" s="326"/>
      <c r="B73" s="328"/>
      <c r="C73" s="69" t="s">
        <v>206</v>
      </c>
      <c r="D73" s="244">
        <f t="shared" ref="D73" si="24">D13+D25+D37+D49+D61</f>
        <v>0</v>
      </c>
      <c r="E73" s="244">
        <f t="shared" si="23"/>
        <v>0</v>
      </c>
      <c r="F73" s="244">
        <f>F13+F25+F37+F49+F61</f>
        <v>232.71185</v>
      </c>
      <c r="G73" s="262">
        <f>G13+G25+G37+G49+G61</f>
        <v>232.71185</v>
      </c>
      <c r="H73" s="262">
        <f t="shared" si="23"/>
        <v>0</v>
      </c>
      <c r="I73" s="262">
        <f t="shared" ref="I73:I80" si="25">G73+H73</f>
        <v>232.71185</v>
      </c>
      <c r="J73" s="113"/>
      <c r="K73" s="113"/>
    </row>
    <row r="74" spans="1:13" s="112" customFormat="1" ht="12" customHeight="1" x14ac:dyDescent="0.2">
      <c r="A74" s="326"/>
      <c r="B74" s="328"/>
      <c r="C74" s="69">
        <v>221</v>
      </c>
      <c r="D74" s="244">
        <f t="shared" ref="D74" si="26">D14+D26+D38+D50+D62</f>
        <v>0</v>
      </c>
      <c r="E74" s="244">
        <f t="shared" si="23"/>
        <v>0</v>
      </c>
      <c r="F74" s="244">
        <f t="shared" si="23"/>
        <v>42.24</v>
      </c>
      <c r="G74" s="262">
        <f t="shared" si="23"/>
        <v>42.24</v>
      </c>
      <c r="H74" s="262">
        <f t="shared" si="23"/>
        <v>0</v>
      </c>
      <c r="I74" s="262">
        <f>G74+H74</f>
        <v>42.24</v>
      </c>
      <c r="J74" s="113"/>
      <c r="K74" s="113"/>
    </row>
    <row r="75" spans="1:13" s="112" customFormat="1" ht="12" customHeight="1" x14ac:dyDescent="0.2">
      <c r="A75" s="326"/>
      <c r="B75" s="328"/>
      <c r="C75" s="69">
        <v>222</v>
      </c>
      <c r="D75" s="244">
        <f t="shared" si="23"/>
        <v>0</v>
      </c>
      <c r="E75" s="244">
        <f t="shared" si="23"/>
        <v>0</v>
      </c>
      <c r="F75" s="244">
        <f t="shared" si="23"/>
        <v>0</v>
      </c>
      <c r="G75" s="262">
        <f t="shared" si="23"/>
        <v>0</v>
      </c>
      <c r="H75" s="262">
        <f t="shared" si="23"/>
        <v>0</v>
      </c>
      <c r="I75" s="262">
        <f t="shared" si="25"/>
        <v>0</v>
      </c>
      <c r="J75" s="113"/>
      <c r="K75" s="113"/>
    </row>
    <row r="76" spans="1:13" s="112" customFormat="1" ht="12" customHeight="1" x14ac:dyDescent="0.2">
      <c r="A76" s="326"/>
      <c r="B76" s="328"/>
      <c r="C76" s="69">
        <v>310</v>
      </c>
      <c r="D76" s="244">
        <f t="shared" si="23"/>
        <v>0</v>
      </c>
      <c r="E76" s="244">
        <f t="shared" si="23"/>
        <v>0</v>
      </c>
      <c r="F76" s="244">
        <f t="shared" si="23"/>
        <v>350</v>
      </c>
      <c r="G76" s="262">
        <f t="shared" si="23"/>
        <v>350</v>
      </c>
      <c r="H76" s="262">
        <f t="shared" si="23"/>
        <v>0</v>
      </c>
      <c r="I76" s="262">
        <f t="shared" si="25"/>
        <v>350</v>
      </c>
      <c r="J76" s="113"/>
      <c r="K76" s="113"/>
    </row>
    <row r="77" spans="1:13" s="112" customFormat="1" ht="12" customHeight="1" x14ac:dyDescent="0.2">
      <c r="A77" s="326"/>
      <c r="B77" s="328"/>
      <c r="C77" s="69">
        <v>223</v>
      </c>
      <c r="D77" s="244">
        <f t="shared" si="23"/>
        <v>0</v>
      </c>
      <c r="E77" s="244">
        <f t="shared" si="23"/>
        <v>0</v>
      </c>
      <c r="F77" s="244">
        <f t="shared" si="23"/>
        <v>522.12201699999991</v>
      </c>
      <c r="G77" s="262">
        <f t="shared" si="23"/>
        <v>522.12201699999991</v>
      </c>
      <c r="H77" s="262">
        <f t="shared" si="23"/>
        <v>385.03347300000001</v>
      </c>
      <c r="I77" s="262">
        <f t="shared" si="25"/>
        <v>907.15548999999987</v>
      </c>
      <c r="J77" s="113"/>
      <c r="K77" s="113"/>
    </row>
    <row r="78" spans="1:13" s="112" customFormat="1" ht="12" customHeight="1" x14ac:dyDescent="0.2">
      <c r="A78" s="326"/>
      <c r="B78" s="328"/>
      <c r="C78" s="69">
        <v>225</v>
      </c>
      <c r="D78" s="244">
        <f t="shared" si="23"/>
        <v>0</v>
      </c>
      <c r="E78" s="244">
        <f t="shared" si="23"/>
        <v>0</v>
      </c>
      <c r="F78" s="244">
        <f t="shared" si="23"/>
        <v>1371.0848999999998</v>
      </c>
      <c r="G78" s="262">
        <f t="shared" si="23"/>
        <v>1371.0848999999998</v>
      </c>
      <c r="H78" s="262">
        <f t="shared" si="23"/>
        <v>0</v>
      </c>
      <c r="I78" s="262">
        <f t="shared" si="25"/>
        <v>1371.0848999999998</v>
      </c>
      <c r="J78" s="113"/>
      <c r="K78" s="113"/>
    </row>
    <row r="79" spans="1:13" s="112" customFormat="1" ht="12" customHeight="1" x14ac:dyDescent="0.2">
      <c r="A79" s="326"/>
      <c r="B79" s="328"/>
      <c r="C79" s="69">
        <v>226</v>
      </c>
      <c r="D79" s="244">
        <f t="shared" si="23"/>
        <v>0</v>
      </c>
      <c r="E79" s="244">
        <f t="shared" si="23"/>
        <v>0</v>
      </c>
      <c r="F79" s="244">
        <f t="shared" si="23"/>
        <v>1416.7360699999999</v>
      </c>
      <c r="G79" s="262">
        <f t="shared" si="23"/>
        <v>1416.7360699999999</v>
      </c>
      <c r="H79" s="262">
        <f t="shared" si="23"/>
        <v>0</v>
      </c>
      <c r="I79" s="262">
        <f t="shared" si="25"/>
        <v>1416.7360699999999</v>
      </c>
      <c r="J79" s="113"/>
      <c r="K79" s="113"/>
    </row>
    <row r="80" spans="1:13" s="112" customFormat="1" ht="12" customHeight="1" x14ac:dyDescent="0.2">
      <c r="A80" s="326"/>
      <c r="B80" s="328"/>
      <c r="C80" s="69">
        <v>290</v>
      </c>
      <c r="D80" s="244">
        <f t="shared" si="23"/>
        <v>0</v>
      </c>
      <c r="E80" s="244">
        <f t="shared" si="23"/>
        <v>0</v>
      </c>
      <c r="F80" s="244">
        <f t="shared" si="23"/>
        <v>0</v>
      </c>
      <c r="G80" s="262">
        <f>G20+G32+G44+G56+G68</f>
        <v>0</v>
      </c>
      <c r="H80" s="262">
        <f t="shared" si="23"/>
        <v>0</v>
      </c>
      <c r="I80" s="262">
        <f t="shared" si="25"/>
        <v>0</v>
      </c>
      <c r="J80" s="113"/>
      <c r="K80" s="113"/>
    </row>
    <row r="81" spans="1:13" s="112" customFormat="1" ht="12" customHeight="1" thickBot="1" x14ac:dyDescent="0.25">
      <c r="A81" s="327"/>
      <c r="B81" s="329"/>
      <c r="C81" s="114">
        <v>340</v>
      </c>
      <c r="D81" s="244">
        <f t="shared" si="23"/>
        <v>0</v>
      </c>
      <c r="E81" s="244">
        <f t="shared" si="23"/>
        <v>887.01582084699999</v>
      </c>
      <c r="F81" s="244">
        <f t="shared" si="23"/>
        <v>114.39134915299999</v>
      </c>
      <c r="G81" s="244">
        <f t="shared" si="23"/>
        <v>1001.40717</v>
      </c>
      <c r="H81" s="262">
        <f t="shared" si="23"/>
        <v>0</v>
      </c>
      <c r="I81" s="262">
        <f>G81+H81</f>
        <v>1001.40717</v>
      </c>
      <c r="J81" s="113"/>
      <c r="K81" s="113"/>
      <c r="M81" s="113"/>
    </row>
    <row r="82" spans="1:13" x14ac:dyDescent="0.25">
      <c r="A82" s="197"/>
      <c r="B82" s="197"/>
      <c r="C82" s="197"/>
      <c r="D82" s="245"/>
      <c r="E82" s="245"/>
      <c r="F82" s="245"/>
      <c r="G82" s="234"/>
      <c r="H82" s="245"/>
      <c r="I82" s="246"/>
    </row>
  </sheetData>
  <mergeCells count="17">
    <mergeCell ref="A10:A21"/>
    <mergeCell ref="B10:B21"/>
    <mergeCell ref="G2:I2"/>
    <mergeCell ref="G3:I3"/>
    <mergeCell ref="F4:I4"/>
    <mergeCell ref="A6:I6"/>
    <mergeCell ref="A7:I7"/>
    <mergeCell ref="A58:A69"/>
    <mergeCell ref="B58:B69"/>
    <mergeCell ref="A70:A81"/>
    <mergeCell ref="B70:B81"/>
    <mergeCell ref="A22:A33"/>
    <mergeCell ref="B22:B33"/>
    <mergeCell ref="A34:A45"/>
    <mergeCell ref="B34:B45"/>
    <mergeCell ref="A46:A57"/>
    <mergeCell ref="B46:B57"/>
  </mergeCells>
  <pageMargins left="0.31496062992125984" right="0.11811023622047245" top="0.15748031496062992" bottom="0.35433070866141736" header="0" footer="0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9"/>
  <sheetViews>
    <sheetView tabSelected="1" view="pageBreakPreview" topLeftCell="A12" zoomScale="80" zoomScaleNormal="80" zoomScaleSheetLayoutView="80" workbookViewId="0">
      <selection activeCell="J18" sqref="J18"/>
    </sheetView>
  </sheetViews>
  <sheetFormatPr defaultRowHeight="15" x14ac:dyDescent="0.25"/>
  <cols>
    <col min="1" max="1" width="19.42578125" customWidth="1"/>
    <col min="2" max="2" width="11.28515625" customWidth="1"/>
    <col min="3" max="3" width="13.7109375" style="34" customWidth="1"/>
    <col min="4" max="4" width="11.42578125" style="34" customWidth="1"/>
    <col min="5" max="5" width="14" style="34" customWidth="1"/>
    <col min="6" max="6" width="10" style="34" bestFit="1" customWidth="1"/>
    <col min="7" max="7" width="10.85546875" style="34" customWidth="1"/>
    <col min="8" max="8" width="9.7109375" style="34" customWidth="1"/>
    <col min="9" max="9" width="10.28515625" style="34" customWidth="1"/>
    <col min="10" max="10" width="10.5703125" style="34" customWidth="1"/>
    <col min="11" max="12" width="12.7109375" style="34" customWidth="1"/>
    <col min="13" max="13" width="16.28515625" style="34" customWidth="1"/>
    <col min="14" max="14" width="10.7109375" style="34" customWidth="1"/>
    <col min="16" max="16" width="20.28515625" customWidth="1"/>
  </cols>
  <sheetData>
    <row r="1" spans="1:16" s="45" customFormat="1" ht="11.25" customHeight="1" x14ac:dyDescent="0.2"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72" t="s">
        <v>204</v>
      </c>
    </row>
    <row r="2" spans="1:16" s="45" customFormat="1" ht="11.25" customHeight="1" x14ac:dyDescent="0.2">
      <c r="C2" s="145"/>
      <c r="D2" s="145"/>
      <c r="E2" s="145"/>
      <c r="F2" s="145"/>
      <c r="G2" s="145"/>
      <c r="H2" s="145"/>
      <c r="I2" s="145"/>
      <c r="J2" s="145"/>
      <c r="K2" s="172"/>
      <c r="L2" s="333" t="s">
        <v>205</v>
      </c>
      <c r="M2" s="333"/>
      <c r="N2" s="333"/>
    </row>
    <row r="3" spans="1:16" s="45" customFormat="1" ht="11.25" customHeight="1" x14ac:dyDescent="0.2">
      <c r="C3" s="145"/>
      <c r="D3" s="145"/>
      <c r="E3" s="145"/>
      <c r="F3" s="145"/>
      <c r="G3" s="145"/>
      <c r="H3" s="145"/>
      <c r="I3" s="145"/>
      <c r="J3" s="145"/>
      <c r="K3" s="172"/>
      <c r="L3" s="333" t="s">
        <v>209</v>
      </c>
      <c r="M3" s="333"/>
      <c r="N3" s="333"/>
    </row>
    <row r="4" spans="1:16" s="45" customFormat="1" ht="11.25" customHeight="1" x14ac:dyDescent="0.2">
      <c r="C4" s="145"/>
      <c r="D4" s="145"/>
      <c r="E4" s="145"/>
      <c r="F4" s="145"/>
      <c r="G4" s="145"/>
      <c r="H4" s="145"/>
      <c r="I4" s="145"/>
      <c r="J4" s="172"/>
      <c r="K4" s="172"/>
      <c r="L4" s="172"/>
      <c r="M4" s="172"/>
      <c r="N4" s="145"/>
    </row>
    <row r="5" spans="1:16" s="62" customFormat="1" ht="12.75" x14ac:dyDescent="0.2">
      <c r="A5" s="331" t="s">
        <v>207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74"/>
    </row>
    <row r="6" spans="1:16" ht="16.5" thickBot="1" x14ac:dyDescent="0.3">
      <c r="A6" s="82"/>
    </row>
    <row r="7" spans="1:16" s="67" customFormat="1" ht="11.25" x14ac:dyDescent="0.2">
      <c r="A7" s="334" t="s">
        <v>132</v>
      </c>
      <c r="B7" s="335" t="s">
        <v>140</v>
      </c>
      <c r="C7" s="336" t="s">
        <v>141</v>
      </c>
      <c r="D7" s="336" t="s">
        <v>142</v>
      </c>
      <c r="E7" s="336"/>
      <c r="F7" s="336" t="s">
        <v>134</v>
      </c>
      <c r="G7" s="336" t="s">
        <v>178</v>
      </c>
      <c r="H7" s="340" t="s">
        <v>143</v>
      </c>
      <c r="I7" s="336" t="s">
        <v>6</v>
      </c>
      <c r="J7" s="342" t="s">
        <v>136</v>
      </c>
      <c r="K7" s="336" t="s">
        <v>144</v>
      </c>
      <c r="L7" s="336"/>
      <c r="M7" s="336"/>
      <c r="N7" s="338" t="s">
        <v>179</v>
      </c>
    </row>
    <row r="8" spans="1:16" s="67" customFormat="1" ht="78" customHeight="1" x14ac:dyDescent="0.2">
      <c r="A8" s="326"/>
      <c r="B8" s="328"/>
      <c r="C8" s="337"/>
      <c r="D8" s="190" t="s">
        <v>145</v>
      </c>
      <c r="E8" s="190" t="s">
        <v>133</v>
      </c>
      <c r="F8" s="337"/>
      <c r="G8" s="337"/>
      <c r="H8" s="341"/>
      <c r="I8" s="337"/>
      <c r="J8" s="343"/>
      <c r="K8" s="190" t="s">
        <v>146</v>
      </c>
      <c r="L8" s="190" t="s">
        <v>134</v>
      </c>
      <c r="M8" s="190" t="s">
        <v>147</v>
      </c>
      <c r="N8" s="339"/>
    </row>
    <row r="9" spans="1:16" s="67" customFormat="1" ht="12.75" customHeight="1" x14ac:dyDescent="0.2">
      <c r="A9" s="326"/>
      <c r="B9" s="328"/>
      <c r="C9" s="190" t="s">
        <v>148</v>
      </c>
      <c r="D9" s="190" t="s">
        <v>148</v>
      </c>
      <c r="E9" s="190" t="s">
        <v>148</v>
      </c>
      <c r="F9" s="190" t="s">
        <v>148</v>
      </c>
      <c r="G9" s="190" t="s">
        <v>148</v>
      </c>
      <c r="H9" s="191" t="s">
        <v>149</v>
      </c>
      <c r="I9" s="190" t="s">
        <v>148</v>
      </c>
      <c r="J9" s="194" t="s">
        <v>148</v>
      </c>
      <c r="K9" s="190" t="s">
        <v>150</v>
      </c>
      <c r="L9" s="190" t="s">
        <v>150</v>
      </c>
      <c r="M9" s="190" t="s">
        <v>151</v>
      </c>
      <c r="N9" s="339"/>
    </row>
    <row r="10" spans="1:16" s="165" customFormat="1" ht="17.25" customHeight="1" x14ac:dyDescent="0.25">
      <c r="A10" s="188">
        <v>1</v>
      </c>
      <c r="B10" s="189" t="s">
        <v>152</v>
      </c>
      <c r="C10" s="219">
        <v>2</v>
      </c>
      <c r="D10" s="190" t="s">
        <v>153</v>
      </c>
      <c r="E10" s="190" t="s">
        <v>154</v>
      </c>
      <c r="F10" s="219">
        <v>3</v>
      </c>
      <c r="G10" s="219">
        <v>4</v>
      </c>
      <c r="H10" s="220">
        <v>5</v>
      </c>
      <c r="I10" s="219">
        <v>6</v>
      </c>
      <c r="J10" s="221">
        <v>7</v>
      </c>
      <c r="K10" s="190" t="s">
        <v>155</v>
      </c>
      <c r="L10" s="190" t="s">
        <v>156</v>
      </c>
      <c r="M10" s="190" t="s">
        <v>157</v>
      </c>
      <c r="N10" s="173" t="s">
        <v>180</v>
      </c>
    </row>
    <row r="11" spans="1:16" s="67" customFormat="1" ht="99" customHeight="1" x14ac:dyDescent="0.2">
      <c r="A11" s="188" t="s">
        <v>170</v>
      </c>
      <c r="B11" s="186" t="s">
        <v>175</v>
      </c>
      <c r="C11" s="174">
        <f>D11+E11</f>
        <v>46.403561310999997</v>
      </c>
      <c r="D11" s="174">
        <f>'прил 3'!D10</f>
        <v>46.403561310999997</v>
      </c>
      <c r="E11" s="174">
        <f>'прил 3'!E10</f>
        <v>0</v>
      </c>
      <c r="F11" s="174">
        <f>'прил 3'!F10</f>
        <v>1255.3829504306</v>
      </c>
      <c r="G11" s="174">
        <f>C11+F11</f>
        <v>1301.7865117416</v>
      </c>
      <c r="H11" s="174">
        <v>1</v>
      </c>
      <c r="I11" s="174">
        <f>'прил 3'!H10</f>
        <v>77.006694600000003</v>
      </c>
      <c r="J11" s="174">
        <f t="shared" ref="J11:J12" si="0">G11+I11</f>
        <v>1378.7932063415999</v>
      </c>
      <c r="K11" s="174">
        <f>(C11/H11)*1000</f>
        <v>46403.561310999998</v>
      </c>
      <c r="L11" s="174">
        <f>(F11/H11)*1000-1.9</f>
        <v>1255381.0504306001</v>
      </c>
      <c r="M11" s="174">
        <f>K11+L11-0.01</f>
        <v>1301784.6017416001</v>
      </c>
      <c r="N11" s="182">
        <f>G11/J11</f>
        <v>0.94414920653378875</v>
      </c>
      <c r="O11" s="288">
        <f>G11</f>
        <v>1301.7865117416</v>
      </c>
      <c r="P11" s="222">
        <f>J11*1000</f>
        <v>1378793.2063415998</v>
      </c>
    </row>
    <row r="12" spans="1:16" s="67" customFormat="1" ht="31.15" customHeight="1" x14ac:dyDescent="0.2">
      <c r="A12" s="188" t="s">
        <v>167</v>
      </c>
      <c r="B12" s="186" t="s">
        <v>176</v>
      </c>
      <c r="C12" s="174">
        <f t="shared" ref="C12:C17" si="1">D12+E12</f>
        <v>2036.8419089953998</v>
      </c>
      <c r="D12" s="174">
        <f>'прил 3'!D22</f>
        <v>1859.4387448259997</v>
      </c>
      <c r="E12" s="174">
        <f>'прил 3'!E22</f>
        <v>177.40316416940001</v>
      </c>
      <c r="F12" s="174">
        <f>'прил 3'!F22</f>
        <v>2803.2851254306001</v>
      </c>
      <c r="G12" s="174">
        <f>C12+F12</f>
        <v>4840.1270344260001</v>
      </c>
      <c r="H12" s="174">
        <v>15.67</v>
      </c>
      <c r="I12" s="174">
        <f>'прил 3'!H22</f>
        <v>77.006694600000003</v>
      </c>
      <c r="J12" s="174">
        <f t="shared" si="0"/>
        <v>4917.1337290259999</v>
      </c>
      <c r="K12" s="174">
        <f t="shared" ref="K12:K15" si="2">(C12/H12)*1000</f>
        <v>129983.52961042755</v>
      </c>
      <c r="L12" s="174">
        <f>(F12/H12)*1000-0.02</f>
        <v>178895.01034017871</v>
      </c>
      <c r="M12" s="174">
        <f>K12+L12</f>
        <v>308878.53995060624</v>
      </c>
      <c r="N12" s="182">
        <f t="shared" ref="N12:N16" si="3">G12/J12</f>
        <v>0.98433910915511069</v>
      </c>
      <c r="P12" s="222">
        <f t="shared" ref="P12:P17" si="4">J12*1000</f>
        <v>4917133.729026</v>
      </c>
    </row>
    <row r="13" spans="1:16" s="67" customFormat="1" ht="68.45" customHeight="1" x14ac:dyDescent="0.2">
      <c r="A13" s="188" t="s">
        <v>200</v>
      </c>
      <c r="B13" s="186" t="s">
        <v>199</v>
      </c>
      <c r="C13" s="174">
        <f>C14+C15+C16</f>
        <v>4594.8454999606001</v>
      </c>
      <c r="D13" s="174">
        <f t="shared" ref="D13:I13" si="5">D14+D15+D16</f>
        <v>3885.2328432829995</v>
      </c>
      <c r="E13" s="174">
        <f>E14+E15+E16</f>
        <v>709.61265667759994</v>
      </c>
      <c r="F13" s="174">
        <f>F14+F15+F16</f>
        <v>4541.5737462917996</v>
      </c>
      <c r="G13" s="174">
        <f>G14+G15+G16</f>
        <v>9136.4192462524006</v>
      </c>
      <c r="H13" s="174">
        <f t="shared" si="5"/>
        <v>130.5</v>
      </c>
      <c r="I13" s="174">
        <f t="shared" si="5"/>
        <v>231.02008380000001</v>
      </c>
      <c r="J13" s="174">
        <f>J14+J15+J16</f>
        <v>9367.4393300523989</v>
      </c>
      <c r="K13" s="174">
        <f>K14+K15+K16</f>
        <v>91446.083383870719</v>
      </c>
      <c r="L13" s="174">
        <f>L14+L15+L16+0.01</f>
        <v>474478.67254157242</v>
      </c>
      <c r="M13" s="174">
        <f>M14+M15+M16</f>
        <v>565924.75592544314</v>
      </c>
      <c r="N13" s="218">
        <f>(N14+N15+N16)/3</f>
        <v>0.96813111376820282</v>
      </c>
      <c r="P13" s="222">
        <f t="shared" si="4"/>
        <v>9367439.3300523981</v>
      </c>
    </row>
    <row r="14" spans="1:16" s="62" customFormat="1" ht="80.45" customHeight="1" x14ac:dyDescent="0.2">
      <c r="A14" s="166" t="s">
        <v>196</v>
      </c>
      <c r="B14" s="169" t="s">
        <v>176</v>
      </c>
      <c r="C14" s="175">
        <f t="shared" si="1"/>
        <v>2021.6942821224497</v>
      </c>
      <c r="D14" s="175">
        <f>'прил 3'!D34</f>
        <v>1711.2387448259997</v>
      </c>
      <c r="E14" s="175">
        <f>'прил 3'!E34</f>
        <v>310.45553729644996</v>
      </c>
      <c r="F14" s="175">
        <f>'прил 3'!F34</f>
        <v>1252.7809504305999</v>
      </c>
      <c r="G14" s="175">
        <f>C14+F14</f>
        <v>3274.4752325530499</v>
      </c>
      <c r="H14" s="175">
        <v>77.5</v>
      </c>
      <c r="I14" s="175">
        <f>'прил 3'!H34</f>
        <v>77.006694600000003</v>
      </c>
      <c r="J14" s="175">
        <f>G14+I14</f>
        <v>3351.48192715305</v>
      </c>
      <c r="K14" s="175">
        <f t="shared" si="2"/>
        <v>26086.377833838062</v>
      </c>
      <c r="L14" s="175">
        <f>(F14/H14)*1000-0.03</f>
        <v>16164.885489427093</v>
      </c>
      <c r="M14" s="175">
        <f>K14+L14+0.01</f>
        <v>42251.273323265159</v>
      </c>
      <c r="N14" s="183">
        <f t="shared" si="3"/>
        <v>0.97702309119553743</v>
      </c>
      <c r="P14" s="222">
        <f t="shared" si="4"/>
        <v>3351481.92715305</v>
      </c>
    </row>
    <row r="15" spans="1:16" s="62" customFormat="1" ht="74.45" customHeight="1" x14ac:dyDescent="0.2">
      <c r="A15" s="167" t="s">
        <v>197</v>
      </c>
      <c r="B15" s="169" t="s">
        <v>175</v>
      </c>
      <c r="C15" s="175">
        <f t="shared" si="1"/>
        <v>44.350791042350004</v>
      </c>
      <c r="D15" s="175">
        <f>'прил 3'!D46</f>
        <v>0</v>
      </c>
      <c r="E15" s="175">
        <f>'прил 3'!E46</f>
        <v>44.350791042350004</v>
      </c>
      <c r="F15" s="175">
        <f>'прил 3'!F46</f>
        <v>1252.7809504305999</v>
      </c>
      <c r="G15" s="175">
        <f>C15+F15</f>
        <v>1297.1317414729499</v>
      </c>
      <c r="H15" s="175">
        <v>3</v>
      </c>
      <c r="I15" s="175">
        <f>'прил 3'!H46</f>
        <v>77.006694600000003</v>
      </c>
      <c r="J15" s="175">
        <f>G15+I15</f>
        <v>1374.1384360729498</v>
      </c>
      <c r="K15" s="175">
        <f t="shared" si="2"/>
        <v>14783.597014116667</v>
      </c>
      <c r="L15" s="175">
        <f>(F15/H15)*1000-0.1</f>
        <v>417593.55014353333</v>
      </c>
      <c r="M15" s="175">
        <f t="shared" ref="M15:M16" si="6">K15+L15</f>
        <v>432377.14715764998</v>
      </c>
      <c r="N15" s="183">
        <f t="shared" si="3"/>
        <v>0.94396001699794396</v>
      </c>
      <c r="P15" s="222">
        <f t="shared" si="4"/>
        <v>1374138.4360729498</v>
      </c>
    </row>
    <row r="16" spans="1:16" s="62" customFormat="1" ht="51.6" customHeight="1" x14ac:dyDescent="0.2">
      <c r="A16" s="168" t="s">
        <v>198</v>
      </c>
      <c r="B16" s="170" t="s">
        <v>177</v>
      </c>
      <c r="C16" s="175">
        <f t="shared" si="1"/>
        <v>2528.8004267957999</v>
      </c>
      <c r="D16" s="176">
        <f>'прил 3'!D58</f>
        <v>2173.9940984569998</v>
      </c>
      <c r="E16" s="176">
        <f>'прил 3'!E58</f>
        <v>354.80632833880003</v>
      </c>
      <c r="F16" s="176">
        <f>'прил 3'!F58</f>
        <v>2036.0118454305998</v>
      </c>
      <c r="G16" s="175">
        <f>C16+F16</f>
        <v>4564.8122722263997</v>
      </c>
      <c r="H16" s="176">
        <v>50</v>
      </c>
      <c r="I16" s="175">
        <f>'прил 3'!H58</f>
        <v>77.006694600000003</v>
      </c>
      <c r="J16" s="175">
        <f>G16+I16</f>
        <v>4641.8189668263994</v>
      </c>
      <c r="K16" s="175">
        <f>(C16/H16)*1000+0.1</f>
        <v>50576.108535915992</v>
      </c>
      <c r="L16" s="175">
        <f>(F16/H16)*1000-0.01</f>
        <v>40720.226908611992</v>
      </c>
      <c r="M16" s="175">
        <f t="shared" si="6"/>
        <v>91296.335444527984</v>
      </c>
      <c r="N16" s="183">
        <f t="shared" si="3"/>
        <v>0.98341023311112685</v>
      </c>
      <c r="P16" s="222">
        <f t="shared" si="4"/>
        <v>4641818.9668263998</v>
      </c>
    </row>
    <row r="17" spans="1:16" s="62" customFormat="1" ht="70.150000000000006" hidden="1" customHeight="1" x14ac:dyDescent="0.2">
      <c r="A17" s="187" t="s">
        <v>191</v>
      </c>
      <c r="B17" s="171" t="s">
        <v>195</v>
      </c>
      <c r="C17" s="174">
        <f t="shared" si="1"/>
        <v>0</v>
      </c>
      <c r="D17" s="177">
        <v>0</v>
      </c>
      <c r="E17" s="177">
        <v>0</v>
      </c>
      <c r="F17" s="177">
        <f>0</f>
        <v>0</v>
      </c>
      <c r="G17" s="174">
        <f>C17+F17</f>
        <v>0</v>
      </c>
      <c r="H17" s="177">
        <v>0</v>
      </c>
      <c r="I17" s="174">
        <v>0</v>
      </c>
      <c r="J17" s="174">
        <f>G17+I17</f>
        <v>0</v>
      </c>
      <c r="K17" s="174">
        <v>0</v>
      </c>
      <c r="L17" s="174">
        <v>0</v>
      </c>
      <c r="M17" s="174">
        <v>0</v>
      </c>
      <c r="N17" s="182">
        <v>0</v>
      </c>
      <c r="P17" s="222">
        <f t="shared" si="4"/>
        <v>0</v>
      </c>
    </row>
    <row r="18" spans="1:16" s="62" customFormat="1" ht="30" customHeight="1" thickBot="1" x14ac:dyDescent="0.25">
      <c r="A18" s="80" t="s">
        <v>158</v>
      </c>
      <c r="B18" s="81"/>
      <c r="C18" s="178">
        <f>D18+E18</f>
        <v>6678.0909702669996</v>
      </c>
      <c r="D18" s="193">
        <f>D14+D12+D11+D15+D16+D17</f>
        <v>5791.0751494199994</v>
      </c>
      <c r="E18" s="193">
        <f>E14+E12+E11+E15+E16+E17</f>
        <v>887.01582084699999</v>
      </c>
      <c r="F18" s="193">
        <f>F14+F12+F11+F15+F16+F17</f>
        <v>8600.2418221530006</v>
      </c>
      <c r="G18" s="193">
        <f>C18+F18</f>
        <v>15278.33279242</v>
      </c>
      <c r="H18" s="193">
        <f>H11+H12+H14+H15+H16+H17</f>
        <v>147.17000000000002</v>
      </c>
      <c r="I18" s="193">
        <f>I14+I12+I11+I15+I16+I17</f>
        <v>385.03347300000001</v>
      </c>
      <c r="J18" s="193">
        <f>G18+I18</f>
        <v>15663.36626542</v>
      </c>
      <c r="K18" s="153">
        <f>C18/H18*1000</f>
        <v>45376.713802181141</v>
      </c>
      <c r="L18" s="153">
        <f>F18/H18*1000</f>
        <v>58437.46566659645</v>
      </c>
      <c r="M18" s="153">
        <f>K18+L18</f>
        <v>103814.17946877758</v>
      </c>
      <c r="N18" s="184">
        <f>G18/J18</f>
        <v>0.97541821684588725</v>
      </c>
      <c r="P18" s="222">
        <f>J18*1000</f>
        <v>15663366.265419999</v>
      </c>
    </row>
    <row r="19" spans="1:16" ht="15.75" hidden="1" x14ac:dyDescent="0.25">
      <c r="A19" s="83" t="s">
        <v>159</v>
      </c>
      <c r="B19" s="83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79">
        <f t="shared" ref="M19:M30" si="7">K19+L19</f>
        <v>0</v>
      </c>
    </row>
    <row r="20" spans="1:16" ht="15.75" hidden="1" x14ac:dyDescent="0.25">
      <c r="A20" s="84" t="s">
        <v>160</v>
      </c>
      <c r="B20" s="84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80">
        <f t="shared" si="7"/>
        <v>0</v>
      </c>
    </row>
    <row r="21" spans="1:16" ht="31.5" hidden="1" x14ac:dyDescent="0.25">
      <c r="A21" s="84" t="s">
        <v>161</v>
      </c>
      <c r="B21" s="84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80">
        <f t="shared" si="7"/>
        <v>0</v>
      </c>
    </row>
    <row r="22" spans="1:16" ht="15.75" hidden="1" x14ac:dyDescent="0.25">
      <c r="A22" s="84" t="s">
        <v>159</v>
      </c>
      <c r="B22" s="84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80">
        <f t="shared" si="7"/>
        <v>0</v>
      </c>
    </row>
    <row r="23" spans="1:16" ht="15.75" hidden="1" x14ac:dyDescent="0.25">
      <c r="A23" s="84" t="s">
        <v>160</v>
      </c>
      <c r="B23" s="84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80">
        <f t="shared" si="7"/>
        <v>0</v>
      </c>
    </row>
    <row r="24" spans="1:16" ht="31.5" hidden="1" x14ac:dyDescent="0.25">
      <c r="A24" s="84" t="s">
        <v>162</v>
      </c>
      <c r="B24" s="84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80">
        <f t="shared" si="7"/>
        <v>0</v>
      </c>
    </row>
    <row r="25" spans="1:16" ht="15.75" hidden="1" x14ac:dyDescent="0.25">
      <c r="A25" s="84" t="s">
        <v>159</v>
      </c>
      <c r="B25" s="84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80">
        <f t="shared" si="7"/>
        <v>0</v>
      </c>
    </row>
    <row r="26" spans="1:16" ht="15.75" hidden="1" x14ac:dyDescent="0.25">
      <c r="A26" s="84" t="s">
        <v>160</v>
      </c>
      <c r="B26" s="84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80">
        <f t="shared" si="7"/>
        <v>0</v>
      </c>
    </row>
    <row r="27" spans="1:16" ht="47.25" hidden="1" x14ac:dyDescent="0.25">
      <c r="A27" s="84" t="s">
        <v>163</v>
      </c>
      <c r="B27" s="84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80">
        <f t="shared" si="7"/>
        <v>0</v>
      </c>
    </row>
    <row r="28" spans="1:16" ht="15.75" hidden="1" x14ac:dyDescent="0.25">
      <c r="A28" s="84" t="s">
        <v>159</v>
      </c>
      <c r="B28" s="84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80">
        <f t="shared" si="7"/>
        <v>0</v>
      </c>
    </row>
    <row r="29" spans="1:16" ht="15.75" hidden="1" x14ac:dyDescent="0.25">
      <c r="A29" s="84" t="s">
        <v>160</v>
      </c>
      <c r="B29" s="84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80">
        <f t="shared" si="7"/>
        <v>0</v>
      </c>
    </row>
    <row r="30" spans="1:16" ht="47.25" hidden="1" x14ac:dyDescent="0.25">
      <c r="A30" s="84" t="s">
        <v>164</v>
      </c>
      <c r="B30" s="84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80">
        <f t="shared" si="7"/>
        <v>0</v>
      </c>
    </row>
    <row r="31" spans="1:16" s="34" customFormat="1" ht="15.75" x14ac:dyDescent="0.25">
      <c r="A31" s="223"/>
      <c r="P31" s="224">
        <v>26531810.899999999</v>
      </c>
    </row>
    <row r="32" spans="1:16" s="332" customFormat="1" ht="33" hidden="1" customHeight="1" x14ac:dyDescent="0.25">
      <c r="A32" s="332" t="s">
        <v>190</v>
      </c>
    </row>
    <row r="33" spans="1:16" s="148" customFormat="1" ht="15.75" hidden="1" x14ac:dyDescent="0.25">
      <c r="A33" s="181" t="s">
        <v>203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</row>
    <row r="34" spans="1:16" s="148" customFormat="1" ht="15.75" hidden="1" x14ac:dyDescent="0.25">
      <c r="A34" s="181" t="s">
        <v>202</v>
      </c>
    </row>
    <row r="35" spans="1:16" s="34" customFormat="1" hidden="1" x14ac:dyDescent="0.25"/>
    <row r="36" spans="1:16" s="34" customFormat="1" x14ac:dyDescent="0.25">
      <c r="P36" s="254">
        <f>P31-P18</f>
        <v>10868444.634579999</v>
      </c>
    </row>
    <row r="37" spans="1:16" s="34" customFormat="1" x14ac:dyDescent="0.25"/>
    <row r="38" spans="1:16" s="34" customFormat="1" x14ac:dyDescent="0.25"/>
    <row r="39" spans="1:16" s="34" customFormat="1" x14ac:dyDescent="0.25"/>
  </sheetData>
  <mergeCells count="15">
    <mergeCell ref="A32:XFD32"/>
    <mergeCell ref="L2:N2"/>
    <mergeCell ref="L3:N3"/>
    <mergeCell ref="A5:M5"/>
    <mergeCell ref="A7:A9"/>
    <mergeCell ref="B7:B9"/>
    <mergeCell ref="C7:C8"/>
    <mergeCell ref="D7:E7"/>
    <mergeCell ref="F7:F8"/>
    <mergeCell ref="G7:G8"/>
    <mergeCell ref="N7:N9"/>
    <mergeCell ref="H7:H8"/>
    <mergeCell ref="I7:I8"/>
    <mergeCell ref="J7:J8"/>
    <mergeCell ref="K7:M7"/>
  </mergeCells>
  <pageMargins left="0.39370078740157483" right="0" top="0.55118110236220474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ЗП</vt:lpstr>
      <vt:lpstr>ГОРЛЕС</vt:lpstr>
      <vt:lpstr>прил 1</vt:lpstr>
      <vt:lpstr>прил 2</vt:lpstr>
      <vt:lpstr>прил 3</vt:lpstr>
      <vt:lpstr>прил </vt:lpstr>
      <vt:lpstr>ГОРЛЕС!Область_печати</vt:lpstr>
      <vt:lpstr>'прил '!Область_печати</vt:lpstr>
      <vt:lpstr>'прил 1'!Область_печати</vt:lpstr>
      <vt:lpstr>'прил 2'!Область_печати</vt:lpstr>
      <vt:lpstr>'прил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2025-05-06T08:03:33Z</dcterms:modified>
</cp:coreProperties>
</file>